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-105" yWindow="-105" windowWidth="20640" windowHeight="11760" tabRatio="945"/>
  </bookViews>
  <sheets>
    <sheet name="!!! ФІНАНСОВИЙ ПЛАН 2023 !!!" sheetId="8" r:id="rId1"/>
    <sheet name="Доходи" sheetId="4" r:id="rId2"/>
    <sheet name="Видатки" sheetId="43" r:id="rId3"/>
    <sheet name="ОЗ-ІНМА" sheetId="39" r:id="rId4"/>
    <sheet name="2210" sheetId="37" r:id="rId5"/>
    <sheet name="2220" sheetId="36" r:id="rId6"/>
    <sheet name="2230" sheetId="35" r:id="rId7"/>
    <sheet name="2240" sheetId="38" r:id="rId8"/>
    <sheet name="ФОП" sheetId="42" r:id="rId9"/>
    <sheet name=" тарифікація 01.01" sheetId="21" r:id="rId10"/>
    <sheet name="Енергоносії..." sheetId="40" r:id="rId11"/>
    <sheet name="програма" sheetId="44" r:id="rId12"/>
    <sheet name="0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123Graph_XGRAPH3" hidden="1">[1]GDP!#REF!</definedName>
    <definedName name="_xlnm._FilterDatabase" localSheetId="9" hidden="1">' тарифікація 01.01'!$C$8:$X$456</definedName>
    <definedName name="_xlnm._FilterDatabase" localSheetId="12" hidden="1">'0'!$B$7:$E$7</definedName>
    <definedName name="ad">'[2]МТР Газ України'!$B$1</definedName>
    <definedName name="as">'[3]МТР Газ України'!$B$1</definedName>
    <definedName name="asdf">[4]Inform!$E$6</definedName>
    <definedName name="asdfg">[4]Inform!$F$2</definedName>
    <definedName name="BuiltIn_Print_Area___1___1">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Cost_Category_National_ID">#REF!</definedName>
    <definedName name="CREXPORT">#REF!</definedName>
    <definedName name="Cе511">#REF!</definedName>
    <definedName name="d">'[8]МТР Газ України'!$B$4</definedName>
    <definedName name="dCPIb">[9]попер_роз!#REF!</definedName>
    <definedName name="Detail">#REF!</definedName>
    <definedName name="dPPIb">[9]попер_роз!#REF!</definedName>
    <definedName name="ds">'[10]7  Інші витрати'!#REF!</definedName>
    <definedName name="Fact_Type_ID">#REF!</definedName>
    <definedName name="G">'[11]МТР Газ України'!$B$1</definedName>
    <definedName name="Header">#REF!</definedName>
    <definedName name="ij1sssss">'[12]7  Інші витрати'!#REF!</definedName>
    <definedName name="LastItem">[13]Лист1!$A$1</definedName>
    <definedName name="Load">'[14]МТР Газ України'!$B$4</definedName>
    <definedName name="Load_ID">'[15]МТР Газ України'!$B$4</definedName>
    <definedName name="Load_ID_10">'[16]7  Інші витрати'!#REF!</definedName>
    <definedName name="Load_ID_11">'[17]МТР Газ України'!$B$4</definedName>
    <definedName name="Load_ID_12">'[17]МТР Газ України'!$B$4</definedName>
    <definedName name="Load_ID_13">'[17]МТР Газ України'!$B$4</definedName>
    <definedName name="Load_ID_14">'[17]МТР Газ України'!$B$4</definedName>
    <definedName name="Load_ID_15">'[17]МТР Газ України'!$B$4</definedName>
    <definedName name="Load_ID_16">'[17]МТР Газ України'!$B$4</definedName>
    <definedName name="Load_ID_17">'[17]МТР Газ України'!$B$4</definedName>
    <definedName name="Load_ID_18">'[18]МТР Газ України'!$B$4</definedName>
    <definedName name="Load_ID_19">'[19]МТР Газ України'!$B$4</definedName>
    <definedName name="Load_ID_20">'[18]МТР Газ України'!$B$4</definedName>
    <definedName name="Load_ID_200">'[14]МТР Газ України'!$B$4</definedName>
    <definedName name="Load_ID_21">'[20]МТР Газ України'!$B$4</definedName>
    <definedName name="Load_ID_23">'[19]МТР Газ України'!$B$4</definedName>
    <definedName name="Load_ID_25">'[20]МТР Газ України'!$B$4</definedName>
    <definedName name="Load_ID_542">'[21]МТР Газ України'!$B$4</definedName>
    <definedName name="Load_ID_6">'[17]МТР Газ України'!$B$4</definedName>
    <definedName name="n" hidden="1">{#N/A,#N/A,FALSE,"Лист4"}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QR">[22]Inform!$E$5</definedName>
    <definedName name="qw">[4]Inform!$E$5</definedName>
    <definedName name="qwert">[4]Inform!$G$2</definedName>
    <definedName name="qwerty">'[3]МТР Газ України'!$B$4</definedName>
    <definedName name="RText">#REF!</definedName>
    <definedName name="ShowFil">[13]!ShowFil</definedName>
    <definedName name="SU_ID">#REF!</definedName>
    <definedName name="Summery">#REF!</definedName>
    <definedName name="Time_ID">'[15]МТР Газ України'!$B$1</definedName>
    <definedName name="Time_ID_10">'[16]7  Інші витрати'!#REF!</definedName>
    <definedName name="Time_ID_11">'[17]МТР Газ України'!$B$1</definedName>
    <definedName name="Time_ID_12">'[17]МТР Газ України'!$B$1</definedName>
    <definedName name="Time_ID_13">'[17]МТР Газ України'!$B$1</definedName>
    <definedName name="Time_ID_14">'[17]МТР Газ України'!$B$1</definedName>
    <definedName name="Time_ID_15">'[17]МТР Газ України'!$B$1</definedName>
    <definedName name="Time_ID_16">'[17]МТР Газ України'!$B$1</definedName>
    <definedName name="Time_ID_17">'[17]МТР Газ України'!$B$1</definedName>
    <definedName name="Time_ID_18">'[18]МТР Газ України'!$B$1</definedName>
    <definedName name="Time_ID_19">'[19]МТР Газ України'!$B$1</definedName>
    <definedName name="Time_ID_20">'[18]МТР Газ України'!$B$1</definedName>
    <definedName name="Time_ID_21">'[20]МТР Газ України'!$B$1</definedName>
    <definedName name="Time_ID_23">'[19]МТР Газ України'!$B$1</definedName>
    <definedName name="Time_ID_25">'[20]МТР Газ України'!$B$1</definedName>
    <definedName name="Time_ID_6">'[17]МТР Газ України'!$B$1</definedName>
    <definedName name="Time_ID0">'[15]МТР Газ України'!$F$1</definedName>
    <definedName name="Time_ID0_10">'[16]7  Інші витрати'!#REF!</definedName>
    <definedName name="Time_ID0_11">'[17]МТР Газ України'!$F$1</definedName>
    <definedName name="Time_ID0_12">'[17]МТР Газ України'!$F$1</definedName>
    <definedName name="Time_ID0_13">'[17]МТР Газ України'!$F$1</definedName>
    <definedName name="Time_ID0_14">'[17]МТР Газ України'!$F$1</definedName>
    <definedName name="Time_ID0_15">'[17]МТР Газ України'!$F$1</definedName>
    <definedName name="Time_ID0_16">'[17]МТР Газ України'!$F$1</definedName>
    <definedName name="Time_ID0_17">'[17]МТР Газ України'!$F$1</definedName>
    <definedName name="Time_ID0_18">'[18]МТР Газ України'!$F$1</definedName>
    <definedName name="Time_ID0_19">'[19]МТР Газ України'!$F$1</definedName>
    <definedName name="Time_ID0_20">'[18]МТР Газ України'!$F$1</definedName>
    <definedName name="Time_ID0_21">'[20]МТР Газ України'!$F$1</definedName>
    <definedName name="Time_ID0_23">'[19]МТР Газ України'!$F$1</definedName>
    <definedName name="Time_ID0_25">'[20]МТР Газ України'!$F$1</definedName>
    <definedName name="Time_ID0_6">'[17]МТР Газ України'!$F$1</definedName>
    <definedName name="Title">#REF!</definedName>
    <definedName name="tttttt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WQER">'[23]МТР Газ України'!$B$4</definedName>
    <definedName name="wr">'[23]МТР Газ України'!$B$4</definedName>
    <definedName name="wrn.Інструкція." hidden="1">{#N/A,#N/A,FALSE,"Лист4"}</definedName>
    <definedName name="yyyy">#REF!</definedName>
    <definedName name="zx">'[3]МТР Газ України'!$F$1</definedName>
    <definedName name="zxc">[4]Inform!$E$38</definedName>
    <definedName name="а">'[12]7  Інші витрати'!#REF!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в">#REF!</definedName>
    <definedName name="аен">'[23]МТР Газ України'!$B$4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_xlnm.Database" localSheetId="9">'[24]1111'!$B$1:$G$310</definedName>
    <definedName name="_xlnm.Database">'[25]Ener '!$A$1:$G$2645</definedName>
    <definedName name="бб" hidden="1">{#N/A,#N/A,FALSE,"Лист4"}</definedName>
    <definedName name="в">'[26]МТР Газ України'!$F$1</definedName>
    <definedName name="Валюта">#REF!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Т__Укртелеком">#REF!</definedName>
    <definedName name="ватт">'[27]БАЗА  '!#REF!</definedName>
    <definedName name="вау" hidden="1">{#N/A,#N/A,FALSE,"Лист4"}</definedName>
    <definedName name="вв" hidden="1">{#N/A,#N/A,FALSE,"Лист4"}</definedName>
    <definedName name="Віницька">#REF!</definedName>
    <definedName name="вмр" hidden="1">{#N/A,#N/A,FALSE,"Лист4"}</definedName>
    <definedName name="Волинська">#REF!</definedName>
    <definedName name="вруу" hidden="1">{#N/A,#N/A,FALSE,"Лист4"}</definedName>
    <definedName name="врууунуууу" hidden="1">{#N/A,#N/A,FALSE,"Лист4"}</definedName>
    <definedName name="ВсегоДбОстНаКонецПериода">#REF!</definedName>
    <definedName name="ВсегоДбОстНаНачалоПериода">#REF!</definedName>
    <definedName name="ВсегоКрОстНаКонецПериода">#REF!</definedName>
    <definedName name="ВсегоКрОстНаНачалоПериода">#REF!</definedName>
    <definedName name="ВсегоОборотПоДебету">#REF!</definedName>
    <definedName name="ВсегоОборотПоКредиту">#REF!</definedName>
    <definedName name="Всього">#REF!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">'[14]МТР Газ України'!$B$4</definedName>
    <definedName name="ДбВалОстНаКонецПериода">#REF!</definedName>
    <definedName name="ДбВалОстНаНачалоПериода">#REF!</definedName>
    <definedName name="ДбОстНаКонецПериода">#REF!</definedName>
    <definedName name="ДбОстНаНачалоПериода">#REF!</definedName>
    <definedName name="ддд" hidden="1">{#N/A,#N/A,FALSE,"Лист4"}</definedName>
    <definedName name="Дніпропетровська">#REF!</definedName>
    <definedName name="до_1_року">'0'!$G$3:$G$4</definedName>
    <definedName name="Донецька">#REF!,#REF!,#REF!</definedName>
    <definedName name="ДПМ">#REF!</definedName>
    <definedName name="е" localSheetId="9" hidden="1">{#N/A,#N/A,FALSE,"Лист4"}</definedName>
    <definedName name="е">#REF!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localSheetId="9" hidden="1">{#N/A,#N/A,FALSE,"Лист4"}</definedName>
    <definedName name="є">#REF!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Житомирська">#REF!</definedName>
    <definedName name="_xlnm.Print_Titles" localSheetId="0">'!!! ФІНАНСОВИЙ ПЛАН 2023 !!!'!$34:$36</definedName>
    <definedName name="Заголовки_для_печати_МИ">'[28]1993'!$A$1:$IV$3,'[28]1993'!$A$1:$A$65536</definedName>
    <definedName name="Закарпатська">#REF!,#REF!,#REF!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Зопорізька">#REF!</definedName>
    <definedName name="ип" hidden="1">{#N/A,#N/A,FALSE,"Лист4"}</definedName>
    <definedName name="ить" hidden="1">{#N/A,#N/A,FALSE,"Лист4"}</definedName>
    <definedName name="і">[29]Inform!$F$2</definedName>
    <definedName name="ів">#REF!</definedName>
    <definedName name="Ів.Франківська">#REF!</definedName>
    <definedName name="Ів.Франковська">#REF!,#REF!,#REF!</definedName>
    <definedName name="ів___0">#REF!</definedName>
    <definedName name="ів_22">#REF!</definedName>
    <definedName name="ів_26">#REF!</definedName>
    <definedName name="іваа" hidden="1">{#N/A,#N/A,FALSE,"Лист4"}</definedName>
    <definedName name="іваіа">'[30]7  Інші витрати'!#REF!</definedName>
    <definedName name="івап" hidden="1">{#N/A,#N/A,FALSE,"Лист4"}</definedName>
    <definedName name="іваф">#REF!</definedName>
    <definedName name="івів">'[11]МТР Газ України'!$B$1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іцу">[22]Inform!$G$2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гккг" hidden="1">{#N/A,#N/A,FALSE,"Лист4"}</definedName>
    <definedName name="кгкккк" hidden="1">{#N/A,#N/A,FALSE,"Лист4"}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кеуц" hidden="1">{#N/A,#N/A,FALSE,"Лист4"}</definedName>
    <definedName name="Київська">#REF!</definedName>
    <definedName name="Кировоградська">#REF!</definedName>
    <definedName name="Кіровоградська">#REF!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дВалюты">#REF!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рВалОстНаКонецПериода">#REF!</definedName>
    <definedName name="КрВалОстНаНачалоПериода">#REF!</definedName>
    <definedName name="Кримська">#REF!</definedName>
    <definedName name="КрОстНаКонецПериода">#REF!</definedName>
    <definedName name="КрОстНаНачалоПериода">#REF!</definedName>
    <definedName name="культура" hidden="1">{#N/A,#N/A,FALSE,"Лист4"}</definedName>
    <definedName name="л" localSheetId="9" hidden="1">{#N/A,#N/A,FALSE,"Лист4"}</definedName>
    <definedName name="л">#REF!</definedName>
    <definedName name="лд" hidden="1">{#N/A,#N/A,FALSE,"Лист4"}</definedName>
    <definedName name="лікарі">Доходи!$A$2:$B$2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Луганська">#REF!</definedName>
    <definedName name="Львівська">#REF!,#REF!,#REF!</definedName>
    <definedName name="мак" hidden="1">{#N/A,#N/A,FALSE,"Лист4"}</definedName>
    <definedName name="Миколаївська">#REF!</definedName>
    <definedName name="міська">#REF!</definedName>
    <definedName name="мм" hidden="1">{#N/A,#N/A,FALSE,"Лист4"}</definedName>
    <definedName name="МнемокодСчета">#REF!</definedName>
    <definedName name="мпе" hidden="1">{#N/A,#N/A,FALSE,"Лист4"}</definedName>
    <definedName name="НаименованиеСчета">#REF!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НомерСчета">#REF!</definedName>
    <definedName name="_xlnm.Print_Area" localSheetId="9">' тарифікація 01.01'!$B$1:$AB$449</definedName>
    <definedName name="_xlnm.Print_Area" localSheetId="0">'!!! ФІНАНСОВИЙ ПЛАН 2023 !!!'!$B$1:$L$159</definedName>
    <definedName name="_xlnm.Print_Area" localSheetId="4">'2210'!$B$1:$P$86</definedName>
    <definedName name="_xlnm.Print_Area" localSheetId="5">'2220'!$B$1:$J$500</definedName>
    <definedName name="_xlnm.Print_Area" localSheetId="6">'2230'!$B$1:$G$53</definedName>
    <definedName name="_xlnm.Print_Area" localSheetId="7">'2240'!$B$1:$O$32</definedName>
    <definedName name="_xlnm.Print_Area" localSheetId="1">Доходи!$B$1:$H$38</definedName>
    <definedName name="_xlnm.Print_Area" localSheetId="3">'ОЗ-ІНМА'!$A$1:$P$39</definedName>
    <definedName name="ОборотВалПоДебету">#REF!</definedName>
    <definedName name="ОборотВалПоКредиту">#REF!</definedName>
    <definedName name="ОборотПоДебету">#REF!</definedName>
    <definedName name="ОборотПоКредиту">#REF!</definedName>
    <definedName name="оггне" hidden="1">{#N/A,#N/A,FALSE,"Лист4"}</definedName>
    <definedName name="Одеська">#REF!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ганизация">#REF!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">'[12]7  Інші витрати'!#REF!</definedName>
    <definedName name="пдв">'[14]МТР Газ України'!$B$4</definedName>
    <definedName name="пдв_утг">'[14]МТР Газ України'!$F$1</definedName>
    <definedName name="Период">#REF!</definedName>
    <definedName name="План">#REF!</definedName>
    <definedName name="плеккккг" hidden="1">{#N/A,#N/A,FALSE,"Лист4"}</definedName>
    <definedName name="пллеелш" hidden="1">{#N/A,#N/A,FALSE,"Лист4"}</definedName>
    <definedName name="Полтавська">#REF!,#REF!,#REF!</definedName>
    <definedName name="попле" hidden="1">{#N/A,#N/A,FALSE,"Лист4"}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от" hidden="1">{#N/A,#N/A,FALSE,"Лист4"}</definedName>
    <definedName name="пп" hidden="1">{#N/A,#N/A,FALSE,"Лист4"}</definedName>
    <definedName name="ппп">[31]Inform!$E$6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">#REF!</definedName>
    <definedName name="Рівненська">#REF!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евастопольська">#REF!</definedName>
    <definedName name="Симферопольська">#REF!,#REF!,#REF!</definedName>
    <definedName name="сімейний">Доходи!#REF!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умма">#REF!</definedName>
    <definedName name="Сумська">#REF!</definedName>
    <definedName name="счу" hidden="1">{#N/A,#N/A,FALSE,"Лист4"}</definedName>
    <definedName name="счя" hidden="1">{#N/A,#N/A,FALSE,"Лист4"}</definedName>
    <definedName name="т">[32]Inform!$E$6</definedName>
    <definedName name="тариф">[33]Inform!$G$2</definedName>
    <definedName name="Тернопільська">#REF!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йцукйцуйу">#REF!</definedName>
    <definedName name="уке" localSheetId="9" hidden="1">{#N/A,#N/A,FALSE,"Лист4"}</definedName>
    <definedName name="уке">[34]Inform!$G$2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ТГ">'[14]МТР Газ України'!$B$4</definedName>
    <definedName name="Утел">#REF!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ів">'[23]МТР Газ України'!$B$4</definedName>
    <definedName name="фіваіф">'[30]7  Інші витрати'!#REF!</definedName>
    <definedName name="фф" localSheetId="9" hidden="1">{#N/A,#N/A,FALSE,"Лист4"}</definedName>
    <definedName name="фф">'[26]МТР Газ України'!$F$1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арківська">#REF!</definedName>
    <definedName name="Херсонська">#REF!</definedName>
    <definedName name="Херсьнська">#REF!</definedName>
    <definedName name="хз" hidden="1">{#N/A,#N/A,FALSE,"Лист4"}</definedName>
    <definedName name="хїз" hidden="1">{#N/A,#N/A,FALSE,"Лист4"}</definedName>
    <definedName name="Хмельницька">#REF!</definedName>
    <definedName name="ххх" hidden="1">{#N/A,#N/A,FALSE,"Лист4"}</definedName>
    <definedName name="ц" localSheetId="9" hidden="1">{#N/A,#N/A,FALSE,"Лист4"}</definedName>
    <definedName name="ц">'[12]7  Інші витрати'!#REF!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ММТТС">#REF!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еркаська">#REF!,#REF!,#REF!</definedName>
    <definedName name="Чернівецька">#REF!</definedName>
    <definedName name="Чернігівська">#REF!</definedName>
    <definedName name="чч" hidden="1">{#N/A,#N/A,FALSE,"Лист4"}</definedName>
    <definedName name="ччч" localSheetId="9" hidden="1">{#N/A,#N/A,FALSE,"Лист4"}</definedName>
    <definedName name="ччч">'[35]БАЗА  '!#REF!</definedName>
    <definedName name="ш">#REF!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14210" fullCalcOnLoad="1"/>
</workbook>
</file>

<file path=xl/calcChain.xml><?xml version="1.0" encoding="utf-8"?>
<calcChain xmlns="http://schemas.openxmlformats.org/spreadsheetml/2006/main">
  <c r="U4" i="42"/>
  <c r="U6"/>
  <c r="U5"/>
  <c r="AB4"/>
  <c r="AA4"/>
  <c r="AD4"/>
  <c r="AD5"/>
  <c r="W4"/>
  <c r="W6"/>
  <c r="W5"/>
  <c r="Y4"/>
  <c r="Y6"/>
  <c r="Y5"/>
  <c r="AE4"/>
  <c r="AE5"/>
  <c r="D32" i="4"/>
  <c r="C22" i="43"/>
  <c r="C18"/>
  <c r="D27" i="4"/>
  <c r="H41" i="8"/>
  <c r="H42"/>
  <c r="H43"/>
  <c r="H40"/>
  <c r="E27" i="4"/>
  <c r="I41" i="8"/>
  <c r="I42"/>
  <c r="I43"/>
  <c r="I40"/>
  <c r="F27" i="4"/>
  <c r="J41" i="8"/>
  <c r="J42"/>
  <c r="J43"/>
  <c r="J40"/>
  <c r="G27" i="4"/>
  <c r="K41" i="8"/>
  <c r="K42"/>
  <c r="K43"/>
  <c r="K40"/>
  <c r="G40"/>
  <c r="G41"/>
  <c r="A4" i="42"/>
  <c r="G128" i="8"/>
  <c r="A13" i="42"/>
  <c r="G129" i="8"/>
  <c r="A17" i="42"/>
  <c r="G130" i="8"/>
  <c r="A21" i="42"/>
  <c r="G131" i="8"/>
  <c r="A8" i="42"/>
  <c r="G132" i="8"/>
  <c r="A25" i="42"/>
  <c r="G133" i="8"/>
  <c r="G127"/>
  <c r="C27"/>
  <c r="O38" i="40"/>
  <c r="D3" i="44"/>
  <c r="D4"/>
  <c r="D5"/>
  <c r="D13"/>
  <c r="C4" i="42"/>
  <c r="D4"/>
  <c r="E4"/>
  <c r="F4"/>
  <c r="G4"/>
  <c r="H4"/>
  <c r="I4"/>
  <c r="J4"/>
  <c r="K4"/>
  <c r="L4"/>
  <c r="C5"/>
  <c r="D5"/>
  <c r="E5"/>
  <c r="F5"/>
  <c r="G5"/>
  <c r="H5"/>
  <c r="I5"/>
  <c r="J5"/>
  <c r="K5"/>
  <c r="L5"/>
  <c r="L7"/>
  <c r="M4"/>
  <c r="M5"/>
  <c r="M7"/>
  <c r="N4"/>
  <c r="N5"/>
  <c r="N7"/>
  <c r="R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1"/>
  <c r="D11"/>
  <c r="E11"/>
  <c r="F11"/>
  <c r="G11"/>
  <c r="H11"/>
  <c r="I11"/>
  <c r="J11"/>
  <c r="K11"/>
  <c r="L11"/>
  <c r="L12"/>
  <c r="M8"/>
  <c r="M9"/>
  <c r="M11"/>
  <c r="M12"/>
  <c r="N8"/>
  <c r="N9"/>
  <c r="N11"/>
  <c r="N12"/>
  <c r="R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L16"/>
  <c r="M13"/>
  <c r="M14"/>
  <c r="M16"/>
  <c r="N13"/>
  <c r="N14"/>
  <c r="N16"/>
  <c r="R16"/>
  <c r="C17"/>
  <c r="D17"/>
  <c r="E17"/>
  <c r="F17"/>
  <c r="G17"/>
  <c r="H17"/>
  <c r="I17"/>
  <c r="J17"/>
  <c r="K17"/>
  <c r="L17"/>
  <c r="M17"/>
  <c r="N17"/>
  <c r="R17"/>
  <c r="C18"/>
  <c r="D18"/>
  <c r="E18"/>
  <c r="F18"/>
  <c r="G18"/>
  <c r="H18"/>
  <c r="I18"/>
  <c r="J18"/>
  <c r="K18"/>
  <c r="L18"/>
  <c r="M18"/>
  <c r="N18"/>
  <c r="R18"/>
  <c r="R20"/>
  <c r="C21"/>
  <c r="D21"/>
  <c r="E21"/>
  <c r="F21"/>
  <c r="G21"/>
  <c r="H21"/>
  <c r="I21"/>
  <c r="J21"/>
  <c r="K21"/>
  <c r="L21"/>
  <c r="L24"/>
  <c r="M21"/>
  <c r="M24"/>
  <c r="N21"/>
  <c r="N24"/>
  <c r="R24"/>
  <c r="C25"/>
  <c r="D25"/>
  <c r="E25"/>
  <c r="F25"/>
  <c r="G25"/>
  <c r="H25"/>
  <c r="I25"/>
  <c r="J25"/>
  <c r="K25"/>
  <c r="L25"/>
  <c r="C27"/>
  <c r="D27"/>
  <c r="E27"/>
  <c r="F27"/>
  <c r="G27"/>
  <c r="H27"/>
  <c r="I27"/>
  <c r="J27"/>
  <c r="K27"/>
  <c r="L27"/>
  <c r="L29"/>
  <c r="M25"/>
  <c r="M27"/>
  <c r="M29"/>
  <c r="N25"/>
  <c r="N27"/>
  <c r="N29"/>
  <c r="R29"/>
  <c r="R30"/>
  <c r="F5" i="43"/>
  <c r="V4" i="42"/>
  <c r="V6"/>
  <c r="V5"/>
  <c r="AF4"/>
  <c r="AF5"/>
  <c r="X4"/>
  <c r="X6"/>
  <c r="X5"/>
  <c r="Z4"/>
  <c r="Z6"/>
  <c r="Z5"/>
  <c r="AG4"/>
  <c r="AG5"/>
  <c r="G32" i="4"/>
  <c r="F22" i="43"/>
  <c r="F21"/>
  <c r="I7" i="42"/>
  <c r="J7"/>
  <c r="K7"/>
  <c r="Q7"/>
  <c r="I12"/>
  <c r="J12"/>
  <c r="K12"/>
  <c r="Q12"/>
  <c r="I16"/>
  <c r="J16"/>
  <c r="K16"/>
  <c r="Q16"/>
  <c r="Q17"/>
  <c r="Q18"/>
  <c r="Q20"/>
  <c r="I24"/>
  <c r="J24"/>
  <c r="K24"/>
  <c r="Q24"/>
  <c r="I29"/>
  <c r="J29"/>
  <c r="K29"/>
  <c r="Q29"/>
  <c r="Q30"/>
  <c r="E5" i="43"/>
  <c r="F32" i="4"/>
  <c r="E22" i="43"/>
  <c r="E21"/>
  <c r="F7" i="42"/>
  <c r="G7"/>
  <c r="H7"/>
  <c r="P7"/>
  <c r="F12"/>
  <c r="G12"/>
  <c r="H12"/>
  <c r="P12"/>
  <c r="F16"/>
  <c r="G16"/>
  <c r="H16"/>
  <c r="P16"/>
  <c r="P17"/>
  <c r="P18"/>
  <c r="P20"/>
  <c r="F24"/>
  <c r="G24"/>
  <c r="H24"/>
  <c r="P24"/>
  <c r="F29"/>
  <c r="G29"/>
  <c r="H29"/>
  <c r="P29"/>
  <c r="P30"/>
  <c r="D5" i="43"/>
  <c r="E32" i="4"/>
  <c r="D22" i="43"/>
  <c r="D21"/>
  <c r="C7" i="42"/>
  <c r="D7"/>
  <c r="E7"/>
  <c r="O7"/>
  <c r="C12"/>
  <c r="D12"/>
  <c r="E12"/>
  <c r="O12"/>
  <c r="C16"/>
  <c r="D16"/>
  <c r="E16"/>
  <c r="O16"/>
  <c r="O17"/>
  <c r="O18"/>
  <c r="O20"/>
  <c r="C24"/>
  <c r="D24"/>
  <c r="E24"/>
  <c r="O24"/>
  <c r="C26"/>
  <c r="C29"/>
  <c r="D29"/>
  <c r="E29"/>
  <c r="O29"/>
  <c r="O30"/>
  <c r="C5" i="43"/>
  <c r="C21"/>
  <c r="D6" i="44"/>
  <c r="D9"/>
  <c r="K5" i="40"/>
  <c r="M5"/>
  <c r="C16"/>
  <c r="C6"/>
  <c r="C7"/>
  <c r="C8"/>
  <c r="C9"/>
  <c r="C10"/>
  <c r="C11"/>
  <c r="C12"/>
  <c r="C13"/>
  <c r="C14"/>
  <c r="C15"/>
  <c r="C5"/>
  <c r="J503" i="36"/>
  <c r="J501"/>
  <c r="C7" i="43"/>
  <c r="F15"/>
  <c r="E15"/>
  <c r="D15"/>
  <c r="C15"/>
  <c r="F36"/>
  <c r="E36"/>
  <c r="D36"/>
  <c r="C36"/>
  <c r="B20"/>
  <c r="C20"/>
  <c r="E50" i="35"/>
  <c r="AH5" i="40"/>
  <c r="H45"/>
  <c r="F8" i="4"/>
  <c r="G8"/>
  <c r="E8"/>
  <c r="D8"/>
  <c r="G6"/>
  <c r="F6"/>
  <c r="E6"/>
  <c r="D6"/>
  <c r="AB94" i="21"/>
  <c r="AC430"/>
  <c r="AC447"/>
  <c r="AC426"/>
  <c r="AD426"/>
  <c r="AE426"/>
  <c r="AF426"/>
  <c r="AG426"/>
  <c r="AH426"/>
  <c r="AI426"/>
  <c r="AJ426"/>
  <c r="AK426"/>
  <c r="AL426"/>
  <c r="AM426"/>
  <c r="AN426"/>
  <c r="AO426"/>
  <c r="AP426"/>
  <c r="AQ426"/>
  <c r="AR426"/>
  <c r="AS426"/>
  <c r="AT426"/>
  <c r="AU426"/>
  <c r="AV426"/>
  <c r="AW426"/>
  <c r="AX426"/>
  <c r="AE421"/>
  <c r="AF421"/>
  <c r="AG421"/>
  <c r="AH421"/>
  <c r="AI421"/>
  <c r="AJ421"/>
  <c r="AK421"/>
  <c r="AL421"/>
  <c r="AM421"/>
  <c r="AN421"/>
  <c r="AO421"/>
  <c r="AP421"/>
  <c r="AQ421"/>
  <c r="AR421"/>
  <c r="AS421"/>
  <c r="AT421"/>
  <c r="AU421"/>
  <c r="AV421"/>
  <c r="AW421"/>
  <c r="AD421"/>
  <c r="AC421"/>
  <c r="AB421"/>
  <c r="AC420"/>
  <c r="B486"/>
  <c r="B485"/>
  <c r="B484"/>
  <c r="B483"/>
  <c r="AV482"/>
  <c r="T482"/>
  <c r="S482"/>
  <c r="AX481"/>
  <c r="AV481"/>
  <c r="T481"/>
  <c r="S481"/>
  <c r="AX480"/>
  <c r="AV480"/>
  <c r="T480"/>
  <c r="S480"/>
  <c r="B480"/>
  <c r="AX479"/>
  <c r="AV479"/>
  <c r="T479"/>
  <c r="S479"/>
  <c r="B479"/>
  <c r="A479"/>
  <c r="C477"/>
  <c r="C476"/>
  <c r="C475"/>
  <c r="C474"/>
  <c r="C473"/>
  <c r="C472"/>
  <c r="C471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AX446"/>
  <c r="AV446"/>
  <c r="AV477"/>
  <c r="AJ446"/>
  <c r="T446"/>
  <c r="T477"/>
  <c r="S446"/>
  <c r="N446"/>
  <c r="I446"/>
  <c r="G446"/>
  <c r="AS445"/>
  <c r="AR445"/>
  <c r="AJ445"/>
  <c r="AI445"/>
  <c r="AG445"/>
  <c r="AE445"/>
  <c r="R445"/>
  <c r="AT444"/>
  <c r="AS444"/>
  <c r="AR444"/>
  <c r="AR446"/>
  <c r="AJ444"/>
  <c r="AI444"/>
  <c r="AG444"/>
  <c r="AE444"/>
  <c r="Z444"/>
  <c r="R444"/>
  <c r="AK444"/>
  <c r="AM444"/>
  <c r="AT443"/>
  <c r="AS443"/>
  <c r="AR443"/>
  <c r="AK443"/>
  <c r="AJ443"/>
  <c r="AI443"/>
  <c r="AI446"/>
  <c r="AG443"/>
  <c r="AE443"/>
  <c r="R443"/>
  <c r="AL443"/>
  <c r="AS442"/>
  <c r="AR442"/>
  <c r="AQ442"/>
  <c r="AP442"/>
  <c r="AO442"/>
  <c r="AL442"/>
  <c r="AN442"/>
  <c r="AK442"/>
  <c r="AM442"/>
  <c r="AJ442"/>
  <c r="AI442"/>
  <c r="AG441"/>
  <c r="T441"/>
  <c r="G441"/>
  <c r="AX440"/>
  <c r="AV440"/>
  <c r="T440"/>
  <c r="S440"/>
  <c r="R440"/>
  <c r="G440"/>
  <c r="AS439"/>
  <c r="AR439"/>
  <c r="AL439"/>
  <c r="AN439"/>
  <c r="AK439"/>
  <c r="AT439"/>
  <c r="AJ439"/>
  <c r="AI439"/>
  <c r="AH439"/>
  <c r="AA439"/>
  <c r="AQ439"/>
  <c r="AG439"/>
  <c r="AE439"/>
  <c r="Z439"/>
  <c r="AP439"/>
  <c r="R439"/>
  <c r="AW438"/>
  <c r="AS438"/>
  <c r="AR438"/>
  <c r="AP438"/>
  <c r="AM438"/>
  <c r="AL438"/>
  <c r="AU438"/>
  <c r="AJ438"/>
  <c r="AI438"/>
  <c r="AH438"/>
  <c r="AA438"/>
  <c r="AG438"/>
  <c r="AE438"/>
  <c r="Z438"/>
  <c r="AO438"/>
  <c r="R438"/>
  <c r="AK438"/>
  <c r="AT438"/>
  <c r="AW437"/>
  <c r="AS437"/>
  <c r="AS440"/>
  <c r="AR437"/>
  <c r="AR440"/>
  <c r="AN437"/>
  <c r="AL437"/>
  <c r="AL440"/>
  <c r="AJ437"/>
  <c r="AJ440"/>
  <c r="AI437"/>
  <c r="AI440"/>
  <c r="AI441"/>
  <c r="AG437"/>
  <c r="AG440"/>
  <c r="AE437"/>
  <c r="Z437"/>
  <c r="R437"/>
  <c r="AK437"/>
  <c r="AT437"/>
  <c r="AT440"/>
  <c r="AX435"/>
  <c r="AX441"/>
  <c r="AV435"/>
  <c r="AS435"/>
  <c r="AS441"/>
  <c r="AQ435"/>
  <c r="AI435"/>
  <c r="AE435"/>
  <c r="AA435"/>
  <c r="T435"/>
  <c r="S435"/>
  <c r="S441"/>
  <c r="S476"/>
  <c r="G435"/>
  <c r="AS434"/>
  <c r="AR434"/>
  <c r="AQ434"/>
  <c r="AP434"/>
  <c r="AP435"/>
  <c r="AK434"/>
  <c r="AJ434"/>
  <c r="AI434"/>
  <c r="AG434"/>
  <c r="AE434"/>
  <c r="R434"/>
  <c r="Z434"/>
  <c r="AO434"/>
  <c r="AW433"/>
  <c r="AS433"/>
  <c r="AR433"/>
  <c r="AQ433"/>
  <c r="AP433"/>
  <c r="AO433"/>
  <c r="AO435"/>
  <c r="AL433"/>
  <c r="AK433"/>
  <c r="AM433"/>
  <c r="AJ433"/>
  <c r="AJ435"/>
  <c r="AI433"/>
  <c r="AH433"/>
  <c r="AG433"/>
  <c r="AG435"/>
  <c r="AE433"/>
  <c r="AB433"/>
  <c r="R433"/>
  <c r="Z433"/>
  <c r="AX429"/>
  <c r="AV429"/>
  <c r="AO429"/>
  <c r="AI429"/>
  <c r="AG429"/>
  <c r="T429"/>
  <c r="S429"/>
  <c r="R429"/>
  <c r="G429"/>
  <c r="AW428"/>
  <c r="AW429"/>
  <c r="AP428"/>
  <c r="AP429"/>
  <c r="AO428"/>
  <c r="AL428"/>
  <c r="AJ428"/>
  <c r="AI428"/>
  <c r="AH428"/>
  <c r="AG428"/>
  <c r="W428"/>
  <c r="R428"/>
  <c r="AK428"/>
  <c r="T426"/>
  <c r="S426"/>
  <c r="R426"/>
  <c r="G426"/>
  <c r="AU425"/>
  <c r="AS425"/>
  <c r="AR425"/>
  <c r="AQ425"/>
  <c r="AP425"/>
  <c r="AO425"/>
  <c r="AL425"/>
  <c r="AN425"/>
  <c r="AK425"/>
  <c r="AT425"/>
  <c r="AJ425"/>
  <c r="AI425"/>
  <c r="AW424"/>
  <c r="AS424"/>
  <c r="AR424"/>
  <c r="AL424"/>
  <c r="AJ424"/>
  <c r="AI424"/>
  <c r="AG424"/>
  <c r="Z424"/>
  <c r="R424"/>
  <c r="AK424"/>
  <c r="AM424"/>
  <c r="AW423"/>
  <c r="AT423"/>
  <c r="AS423"/>
  <c r="AR423"/>
  <c r="AN423"/>
  <c r="AL423"/>
  <c r="AU423"/>
  <c r="AJ423"/>
  <c r="AI423"/>
  <c r="AH423"/>
  <c r="AA423"/>
  <c r="AG423"/>
  <c r="AB423"/>
  <c r="Z423"/>
  <c r="AP423"/>
  <c r="R423"/>
  <c r="AK423"/>
  <c r="AM423"/>
  <c r="T421"/>
  <c r="S421"/>
  <c r="AS420"/>
  <c r="AR420"/>
  <c r="AJ420"/>
  <c r="AI420"/>
  <c r="AG420"/>
  <c r="AE420"/>
  <c r="R420"/>
  <c r="AK420"/>
  <c r="AG419"/>
  <c r="AE419"/>
  <c r="R419"/>
  <c r="AS418"/>
  <c r="AR418"/>
  <c r="AJ418"/>
  <c r="AI418"/>
  <c r="AG418"/>
  <c r="AE418"/>
  <c r="R418"/>
  <c r="AK418"/>
  <c r="AW417"/>
  <c r="AT417"/>
  <c r="AS417"/>
  <c r="AR417"/>
  <c r="AN417"/>
  <c r="AL417"/>
  <c r="AU417"/>
  <c r="AJ417"/>
  <c r="AI417"/>
  <c r="AH417"/>
  <c r="AA417"/>
  <c r="AQ417"/>
  <c r="AG417"/>
  <c r="AE417"/>
  <c r="Z417"/>
  <c r="AO417"/>
  <c r="R417"/>
  <c r="AK417"/>
  <c r="AM417"/>
  <c r="AS416"/>
  <c r="AR416"/>
  <c r="AJ416"/>
  <c r="AI416"/>
  <c r="AG416"/>
  <c r="AE416"/>
  <c r="R416"/>
  <c r="AK416"/>
  <c r="AW415"/>
  <c r="AT415"/>
  <c r="AS415"/>
  <c r="AR415"/>
  <c r="AN415"/>
  <c r="AL415"/>
  <c r="AU415"/>
  <c r="AJ415"/>
  <c r="AI415"/>
  <c r="AH415"/>
  <c r="AA415"/>
  <c r="AQ415"/>
  <c r="AG415"/>
  <c r="AE415"/>
  <c r="Z415"/>
  <c r="AO415"/>
  <c r="R415"/>
  <c r="AK415"/>
  <c r="AM415"/>
  <c r="AS414"/>
  <c r="AR414"/>
  <c r="AJ414"/>
  <c r="AI414"/>
  <c r="AG414"/>
  <c r="AE414"/>
  <c r="R414"/>
  <c r="AK414"/>
  <c r="AX412"/>
  <c r="AV412"/>
  <c r="T412"/>
  <c r="T430"/>
  <c r="T466"/>
  <c r="S412"/>
  <c r="S430"/>
  <c r="S466"/>
  <c r="P412"/>
  <c r="P430"/>
  <c r="I412"/>
  <c r="I430"/>
  <c r="G412"/>
  <c r="G430"/>
  <c r="AS411"/>
  <c r="AR411"/>
  <c r="AJ411"/>
  <c r="AI411"/>
  <c r="AG411"/>
  <c r="AE411"/>
  <c r="R411"/>
  <c r="AK411"/>
  <c r="AG410"/>
  <c r="AE410"/>
  <c r="R410"/>
  <c r="AG409"/>
  <c r="AE409"/>
  <c r="R409"/>
  <c r="AG408"/>
  <c r="AE408"/>
  <c r="R408"/>
  <c r="AG407"/>
  <c r="AH407"/>
  <c r="AE407"/>
  <c r="AA407"/>
  <c r="AB407"/>
  <c r="R407"/>
  <c r="Z407"/>
  <c r="AG406"/>
  <c r="AE406"/>
  <c r="R406"/>
  <c r="AG405"/>
  <c r="AE405"/>
  <c r="R405"/>
  <c r="AG404"/>
  <c r="AE404"/>
  <c r="R404"/>
  <c r="AW404"/>
  <c r="AG403"/>
  <c r="AE403"/>
  <c r="Z403"/>
  <c r="R403"/>
  <c r="AW403"/>
  <c r="AS402"/>
  <c r="AS412"/>
  <c r="AR402"/>
  <c r="AR412"/>
  <c r="AJ402"/>
  <c r="AJ412"/>
  <c r="AI402"/>
  <c r="AI412"/>
  <c r="AG402"/>
  <c r="AE402"/>
  <c r="R402"/>
  <c r="Q399"/>
  <c r="G399"/>
  <c r="AX398"/>
  <c r="AV398"/>
  <c r="T398"/>
  <c r="S398"/>
  <c r="G398"/>
  <c r="AS397"/>
  <c r="AR397"/>
  <c r="AQ397"/>
  <c r="AJ397"/>
  <c r="AI397"/>
  <c r="AG397"/>
  <c r="AE397"/>
  <c r="R397"/>
  <c r="AL397"/>
  <c r="P397"/>
  <c r="AS396"/>
  <c r="AR396"/>
  <c r="AQ396"/>
  <c r="AJ396"/>
  <c r="AI396"/>
  <c r="AG396"/>
  <c r="AE396"/>
  <c r="P396"/>
  <c r="R396"/>
  <c r="AS395"/>
  <c r="AR395"/>
  <c r="AQ395"/>
  <c r="AJ395"/>
  <c r="AI395"/>
  <c r="AI398"/>
  <c r="AG395"/>
  <c r="AE395"/>
  <c r="P395"/>
  <c r="R395"/>
  <c r="AS394"/>
  <c r="AR394"/>
  <c r="AJ394"/>
  <c r="AI394"/>
  <c r="AG394"/>
  <c r="AE394"/>
  <c r="AE398"/>
  <c r="P394"/>
  <c r="AX392"/>
  <c r="AX399"/>
  <c r="AV392"/>
  <c r="AV399"/>
  <c r="AV465"/>
  <c r="AR392"/>
  <c r="T392"/>
  <c r="S392"/>
  <c r="S399"/>
  <c r="S465"/>
  <c r="G392"/>
  <c r="AG391"/>
  <c r="AH391"/>
  <c r="AA391"/>
  <c r="AE391"/>
  <c r="P391"/>
  <c r="R391"/>
  <c r="AW391"/>
  <c r="AS390"/>
  <c r="AS392"/>
  <c r="AR390"/>
  <c r="AQ390"/>
  <c r="AQ392"/>
  <c r="AJ390"/>
  <c r="AJ392"/>
  <c r="AI390"/>
  <c r="AI392"/>
  <c r="AI399"/>
  <c r="AI465"/>
  <c r="AG390"/>
  <c r="AE390"/>
  <c r="P390"/>
  <c r="AX387"/>
  <c r="AX386"/>
  <c r="AV386"/>
  <c r="Z386"/>
  <c r="T386"/>
  <c r="S386"/>
  <c r="G386"/>
  <c r="AP385"/>
  <c r="AP386"/>
  <c r="AO385"/>
  <c r="AO386"/>
  <c r="AJ385"/>
  <c r="AI385"/>
  <c r="AI386"/>
  <c r="AG385"/>
  <c r="AG386"/>
  <c r="R385"/>
  <c r="AK385"/>
  <c r="AX383"/>
  <c r="AV383"/>
  <c r="T383"/>
  <c r="S383"/>
  <c r="G383"/>
  <c r="AS382"/>
  <c r="AR382"/>
  <c r="AQ382"/>
  <c r="AK382"/>
  <c r="AT382"/>
  <c r="AJ382"/>
  <c r="AI382"/>
  <c r="AG382"/>
  <c r="AE382"/>
  <c r="P382"/>
  <c r="R382"/>
  <c r="Z382"/>
  <c r="AP382"/>
  <c r="AS381"/>
  <c r="AR381"/>
  <c r="AQ381"/>
  <c r="AJ381"/>
  <c r="AI381"/>
  <c r="AG381"/>
  <c r="AE381"/>
  <c r="R381"/>
  <c r="P381"/>
  <c r="AS380"/>
  <c r="AR380"/>
  <c r="AQ380"/>
  <c r="AJ380"/>
  <c r="AI380"/>
  <c r="AG380"/>
  <c r="AE380"/>
  <c r="P380"/>
  <c r="R380"/>
  <c r="AK380"/>
  <c r="AT379"/>
  <c r="AS379"/>
  <c r="AR379"/>
  <c r="AL379"/>
  <c r="AJ379"/>
  <c r="AI379"/>
  <c r="AG379"/>
  <c r="AH379"/>
  <c r="AA379"/>
  <c r="AQ379"/>
  <c r="AE379"/>
  <c r="Z379"/>
  <c r="AO379"/>
  <c r="P379"/>
  <c r="R379"/>
  <c r="AK379"/>
  <c r="AW378"/>
  <c r="AS378"/>
  <c r="AR378"/>
  <c r="AJ378"/>
  <c r="AI378"/>
  <c r="AG378"/>
  <c r="AE378"/>
  <c r="P378"/>
  <c r="R378"/>
  <c r="AS377"/>
  <c r="AR377"/>
  <c r="AQ377"/>
  <c r="AJ377"/>
  <c r="AI377"/>
  <c r="AG377"/>
  <c r="AE377"/>
  <c r="R377"/>
  <c r="AL377"/>
  <c r="P377"/>
  <c r="AX375"/>
  <c r="AV375"/>
  <c r="AS375"/>
  <c r="AA375"/>
  <c r="T375"/>
  <c r="S375"/>
  <c r="S387"/>
  <c r="G375"/>
  <c r="AS374"/>
  <c r="AR374"/>
  <c r="AQ374"/>
  <c r="AJ374"/>
  <c r="AI374"/>
  <c r="AG374"/>
  <c r="AE374"/>
  <c r="P374"/>
  <c r="R374"/>
  <c r="AL374"/>
  <c r="AU374"/>
  <c r="AS373"/>
  <c r="AR373"/>
  <c r="AQ373"/>
  <c r="AQ375"/>
  <c r="AJ373"/>
  <c r="AJ375"/>
  <c r="AI373"/>
  <c r="AG373"/>
  <c r="AG375"/>
  <c r="AE373"/>
  <c r="P373"/>
  <c r="P375"/>
  <c r="I373"/>
  <c r="AX368"/>
  <c r="AV368"/>
  <c r="AV463"/>
  <c r="AR368"/>
  <c r="AR463"/>
  <c r="T368"/>
  <c r="T463"/>
  <c r="S368"/>
  <c r="S463"/>
  <c r="G368"/>
  <c r="AS367"/>
  <c r="AS368"/>
  <c r="AS463"/>
  <c r="AR367"/>
  <c r="AK367"/>
  <c r="AJ367"/>
  <c r="AJ368"/>
  <c r="AJ463"/>
  <c r="AI367"/>
  <c r="AI368"/>
  <c r="AI463"/>
  <c r="AG367"/>
  <c r="AE367"/>
  <c r="AE368"/>
  <c r="AE463"/>
  <c r="R367"/>
  <c r="AL367"/>
  <c r="AX363"/>
  <c r="AV363"/>
  <c r="AP363"/>
  <c r="T363"/>
  <c r="S363"/>
  <c r="G363"/>
  <c r="AP362"/>
  <c r="AO362"/>
  <c r="AL362"/>
  <c r="AJ362"/>
  <c r="AI362"/>
  <c r="AH362"/>
  <c r="AA362"/>
  <c r="AQ362"/>
  <c r="AG362"/>
  <c r="W362"/>
  <c r="AR362"/>
  <c r="R362"/>
  <c r="AK362"/>
  <c r="AW361"/>
  <c r="AP361"/>
  <c r="AO361"/>
  <c r="AL361"/>
  <c r="AU361"/>
  <c r="AJ361"/>
  <c r="AI361"/>
  <c r="AG361"/>
  <c r="AH361"/>
  <c r="AA361"/>
  <c r="R361"/>
  <c r="AK361"/>
  <c r="AT361"/>
  <c r="AP360"/>
  <c r="AO360"/>
  <c r="AJ360"/>
  <c r="AI360"/>
  <c r="AG360"/>
  <c r="R360"/>
  <c r="AP359"/>
  <c r="AO359"/>
  <c r="AJ359"/>
  <c r="AI359"/>
  <c r="AG359"/>
  <c r="R359"/>
  <c r="AP358"/>
  <c r="AO358"/>
  <c r="AJ358"/>
  <c r="AJ363"/>
  <c r="AI358"/>
  <c r="AG358"/>
  <c r="R358"/>
  <c r="AX356"/>
  <c r="AV356"/>
  <c r="T356"/>
  <c r="T364"/>
  <c r="S356"/>
  <c r="G356"/>
  <c r="AS355"/>
  <c r="AR355"/>
  <c r="AJ355"/>
  <c r="AI355"/>
  <c r="AG355"/>
  <c r="AE355"/>
  <c r="Z355"/>
  <c r="R355"/>
  <c r="AL355"/>
  <c r="AS354"/>
  <c r="AR354"/>
  <c r="AJ354"/>
  <c r="AI354"/>
  <c r="AG354"/>
  <c r="AE354"/>
  <c r="R354"/>
  <c r="AS353"/>
  <c r="AR353"/>
  <c r="AJ353"/>
  <c r="AI353"/>
  <c r="AG353"/>
  <c r="AE353"/>
  <c r="Z353"/>
  <c r="R353"/>
  <c r="AK353"/>
  <c r="AM353"/>
  <c r="AS352"/>
  <c r="AR352"/>
  <c r="AJ352"/>
  <c r="AI352"/>
  <c r="AG352"/>
  <c r="AE352"/>
  <c r="R352"/>
  <c r="AS351"/>
  <c r="AR351"/>
  <c r="AJ351"/>
  <c r="AI351"/>
  <c r="AG351"/>
  <c r="AE351"/>
  <c r="R351"/>
  <c r="AL351"/>
  <c r="AN351"/>
  <c r="AS350"/>
  <c r="AR350"/>
  <c r="AJ350"/>
  <c r="AI350"/>
  <c r="AG350"/>
  <c r="AE350"/>
  <c r="I350"/>
  <c r="AX348"/>
  <c r="AV348"/>
  <c r="AV364"/>
  <c r="T348"/>
  <c r="S348"/>
  <c r="S364"/>
  <c r="G348"/>
  <c r="AS347"/>
  <c r="AR347"/>
  <c r="AK347"/>
  <c r="AJ347"/>
  <c r="AI347"/>
  <c r="AG347"/>
  <c r="AE347"/>
  <c r="R347"/>
  <c r="AW346"/>
  <c r="AS346"/>
  <c r="AR346"/>
  <c r="AJ346"/>
  <c r="AI346"/>
  <c r="AG346"/>
  <c r="AE346"/>
  <c r="R346"/>
  <c r="AT345"/>
  <c r="AS345"/>
  <c r="AR345"/>
  <c r="AR348"/>
  <c r="AJ345"/>
  <c r="AI345"/>
  <c r="AG345"/>
  <c r="AG348"/>
  <c r="AE345"/>
  <c r="Z345"/>
  <c r="R345"/>
  <c r="AK345"/>
  <c r="AU344"/>
  <c r="AS344"/>
  <c r="AR344"/>
  <c r="AQ344"/>
  <c r="AP344"/>
  <c r="AO344"/>
  <c r="AL344"/>
  <c r="AK344"/>
  <c r="AT344"/>
  <c r="AJ344"/>
  <c r="AI344"/>
  <c r="AM344"/>
  <c r="AT343"/>
  <c r="AS343"/>
  <c r="AR343"/>
  <c r="AQ343"/>
  <c r="AP343"/>
  <c r="AO343"/>
  <c r="AL343"/>
  <c r="AK343"/>
  <c r="AJ343"/>
  <c r="AI343"/>
  <c r="AM343"/>
  <c r="AU342"/>
  <c r="AT342"/>
  <c r="AX340"/>
  <c r="AX341"/>
  <c r="AV340"/>
  <c r="T340"/>
  <c r="S340"/>
  <c r="G340"/>
  <c r="AP339"/>
  <c r="AO339"/>
  <c r="AJ339"/>
  <c r="AI339"/>
  <c r="AG339"/>
  <c r="P339"/>
  <c r="R339"/>
  <c r="AK339"/>
  <c r="AT339"/>
  <c r="AP338"/>
  <c r="AO338"/>
  <c r="AJ338"/>
  <c r="AI338"/>
  <c r="AG338"/>
  <c r="P338"/>
  <c r="R338"/>
  <c r="AK338"/>
  <c r="AT338"/>
  <c r="AP337"/>
  <c r="AO337"/>
  <c r="AJ337"/>
  <c r="AI337"/>
  <c r="AG337"/>
  <c r="P337"/>
  <c r="R337"/>
  <c r="AK337"/>
  <c r="AT337"/>
  <c r="AP336"/>
  <c r="AO336"/>
  <c r="AJ336"/>
  <c r="AI336"/>
  <c r="AG336"/>
  <c r="P336"/>
  <c r="R336"/>
  <c r="AK336"/>
  <c r="AT336"/>
  <c r="AP335"/>
  <c r="AP340"/>
  <c r="AO335"/>
  <c r="AJ335"/>
  <c r="AJ340"/>
  <c r="AI335"/>
  <c r="AG335"/>
  <c r="AG340"/>
  <c r="P335"/>
  <c r="AX333"/>
  <c r="AV333"/>
  <c r="T333"/>
  <c r="S333"/>
  <c r="G333"/>
  <c r="AS332"/>
  <c r="AR332"/>
  <c r="AQ332"/>
  <c r="AJ332"/>
  <c r="AI332"/>
  <c r="AG332"/>
  <c r="AE332"/>
  <c r="P332"/>
  <c r="R332"/>
  <c r="Z332"/>
  <c r="AP332"/>
  <c r="AS331"/>
  <c r="AR331"/>
  <c r="AJ331"/>
  <c r="AI331"/>
  <c r="AG331"/>
  <c r="AE331"/>
  <c r="P331"/>
  <c r="R331"/>
  <c r="AS330"/>
  <c r="AR330"/>
  <c r="AQ330"/>
  <c r="AJ330"/>
  <c r="AI330"/>
  <c r="AG330"/>
  <c r="AE330"/>
  <c r="R330"/>
  <c r="AL330"/>
  <c r="P330"/>
  <c r="AS329"/>
  <c r="AR329"/>
  <c r="AQ329"/>
  <c r="AJ329"/>
  <c r="AI329"/>
  <c r="AG329"/>
  <c r="AE329"/>
  <c r="Z329"/>
  <c r="AP329"/>
  <c r="P329"/>
  <c r="R329"/>
  <c r="AK329"/>
  <c r="AT329"/>
  <c r="AS328"/>
  <c r="AR328"/>
  <c r="AQ328"/>
  <c r="AJ328"/>
  <c r="AI328"/>
  <c r="AG328"/>
  <c r="AE328"/>
  <c r="P328"/>
  <c r="R328"/>
  <c r="AS327"/>
  <c r="AR327"/>
  <c r="AJ327"/>
  <c r="AI327"/>
  <c r="AG327"/>
  <c r="AE327"/>
  <c r="P327"/>
  <c r="R327"/>
  <c r="AK327"/>
  <c r="AS326"/>
  <c r="AR326"/>
  <c r="AJ326"/>
  <c r="AI326"/>
  <c r="AG326"/>
  <c r="AE326"/>
  <c r="P326"/>
  <c r="R326"/>
  <c r="AK326"/>
  <c r="AS325"/>
  <c r="AR325"/>
  <c r="AQ325"/>
  <c r="AJ325"/>
  <c r="AI325"/>
  <c r="AG325"/>
  <c r="AE325"/>
  <c r="P325"/>
  <c r="R325"/>
  <c r="AK325"/>
  <c r="AS324"/>
  <c r="AR324"/>
  <c r="AQ324"/>
  <c r="AJ324"/>
  <c r="AI324"/>
  <c r="AG324"/>
  <c r="AE324"/>
  <c r="P324"/>
  <c r="R324"/>
  <c r="AL324"/>
  <c r="AU324"/>
  <c r="AS323"/>
  <c r="AR323"/>
  <c r="AQ323"/>
  <c r="AK323"/>
  <c r="AJ323"/>
  <c r="AI323"/>
  <c r="AG323"/>
  <c r="AE323"/>
  <c r="P323"/>
  <c r="R323"/>
  <c r="Z323"/>
  <c r="AP323"/>
  <c r="AS322"/>
  <c r="AR322"/>
  <c r="AQ322"/>
  <c r="AJ322"/>
  <c r="AI322"/>
  <c r="AG322"/>
  <c r="AE322"/>
  <c r="R322"/>
  <c r="P322"/>
  <c r="AS321"/>
  <c r="AR321"/>
  <c r="AQ321"/>
  <c r="AJ321"/>
  <c r="AI321"/>
  <c r="AG321"/>
  <c r="AE321"/>
  <c r="I321"/>
  <c r="P321"/>
  <c r="AX319"/>
  <c r="AV319"/>
  <c r="AV341"/>
  <c r="AV461"/>
  <c r="T319"/>
  <c r="S319"/>
  <c r="G319"/>
  <c r="AS318"/>
  <c r="AR318"/>
  <c r="AJ318"/>
  <c r="AI318"/>
  <c r="AG318"/>
  <c r="AE318"/>
  <c r="P318"/>
  <c r="R318"/>
  <c r="AK318"/>
  <c r="AS317"/>
  <c r="AR317"/>
  <c r="AQ317"/>
  <c r="AJ317"/>
  <c r="AI317"/>
  <c r="AG317"/>
  <c r="AE317"/>
  <c r="P317"/>
  <c r="R317"/>
  <c r="AK317"/>
  <c r="AG316"/>
  <c r="AE316"/>
  <c r="P316"/>
  <c r="R316"/>
  <c r="AS315"/>
  <c r="AR315"/>
  <c r="AJ315"/>
  <c r="AI315"/>
  <c r="AG315"/>
  <c r="AE315"/>
  <c r="R315"/>
  <c r="P315"/>
  <c r="AS314"/>
  <c r="AR314"/>
  <c r="AQ314"/>
  <c r="AJ314"/>
  <c r="AI314"/>
  <c r="AG314"/>
  <c r="AE314"/>
  <c r="P314"/>
  <c r="R314"/>
  <c r="AL314"/>
  <c r="AU314"/>
  <c r="AW313"/>
  <c r="AS313"/>
  <c r="AR313"/>
  <c r="AQ313"/>
  <c r="AL313"/>
  <c r="AJ313"/>
  <c r="AI313"/>
  <c r="AG313"/>
  <c r="AE313"/>
  <c r="P313"/>
  <c r="R313"/>
  <c r="AG312"/>
  <c r="AE312"/>
  <c r="R312"/>
  <c r="AW312"/>
  <c r="P312"/>
  <c r="AS311"/>
  <c r="AR311"/>
  <c r="AJ311"/>
  <c r="AI311"/>
  <c r="AG311"/>
  <c r="AE311"/>
  <c r="P311"/>
  <c r="R311"/>
  <c r="AS310"/>
  <c r="AR310"/>
  <c r="AQ310"/>
  <c r="AJ310"/>
  <c r="AI310"/>
  <c r="AG310"/>
  <c r="AE310"/>
  <c r="P310"/>
  <c r="I310"/>
  <c r="Y307"/>
  <c r="X307"/>
  <c r="V307"/>
  <c r="U307"/>
  <c r="AX306"/>
  <c r="AV306"/>
  <c r="T306"/>
  <c r="S306"/>
  <c r="G306"/>
  <c r="AP305"/>
  <c r="AO305"/>
  <c r="AJ305"/>
  <c r="AI305"/>
  <c r="AG305"/>
  <c r="R305"/>
  <c r="AP304"/>
  <c r="AO304"/>
  <c r="AL304"/>
  <c r="AJ304"/>
  <c r="AI304"/>
  <c r="AH304"/>
  <c r="AA304"/>
  <c r="AQ304"/>
  <c r="AG304"/>
  <c r="W304"/>
  <c r="R304"/>
  <c r="AW304"/>
  <c r="AP303"/>
  <c r="AO303"/>
  <c r="AL303"/>
  <c r="AJ303"/>
  <c r="AI303"/>
  <c r="AH303"/>
  <c r="AA303"/>
  <c r="AQ303"/>
  <c r="AG303"/>
  <c r="W303"/>
  <c r="AR303"/>
  <c r="R303"/>
  <c r="AK303"/>
  <c r="AM303"/>
  <c r="AW302"/>
  <c r="AP302"/>
  <c r="AO302"/>
  <c r="AL302"/>
  <c r="AU302"/>
  <c r="AJ302"/>
  <c r="AI302"/>
  <c r="AH302"/>
  <c r="AG302"/>
  <c r="W302"/>
  <c r="AS302"/>
  <c r="R302"/>
  <c r="AX300"/>
  <c r="AV300"/>
  <c r="T300"/>
  <c r="S300"/>
  <c r="G300"/>
  <c r="AP299"/>
  <c r="AO299"/>
  <c r="AJ299"/>
  <c r="AI299"/>
  <c r="AG299"/>
  <c r="R299"/>
  <c r="AP298"/>
  <c r="AO298"/>
  <c r="AJ298"/>
  <c r="AI298"/>
  <c r="AG298"/>
  <c r="R298"/>
  <c r="AP297"/>
  <c r="AO297"/>
  <c r="AL297"/>
  <c r="AJ297"/>
  <c r="AI297"/>
  <c r="AG297"/>
  <c r="W297"/>
  <c r="R297"/>
  <c r="AK297"/>
  <c r="AP296"/>
  <c r="AO296"/>
  <c r="AJ296"/>
  <c r="AI296"/>
  <c r="AG296"/>
  <c r="AH296"/>
  <c r="AA296"/>
  <c r="AQ296"/>
  <c r="R296"/>
  <c r="AL296"/>
  <c r="AP295"/>
  <c r="AO295"/>
  <c r="AJ295"/>
  <c r="AI295"/>
  <c r="AG295"/>
  <c r="R295"/>
  <c r="AP294"/>
  <c r="AO294"/>
  <c r="AJ294"/>
  <c r="AI294"/>
  <c r="AG294"/>
  <c r="R294"/>
  <c r="AX292"/>
  <c r="AV292"/>
  <c r="T292"/>
  <c r="S292"/>
  <c r="G292"/>
  <c r="AS291"/>
  <c r="AR291"/>
  <c r="AJ291"/>
  <c r="AI291"/>
  <c r="AG291"/>
  <c r="AE291"/>
  <c r="R291"/>
  <c r="AK291"/>
  <c r="AG290"/>
  <c r="AE290"/>
  <c r="R290"/>
  <c r="AW290"/>
  <c r="AS289"/>
  <c r="AR289"/>
  <c r="AP289"/>
  <c r="AJ289"/>
  <c r="AI289"/>
  <c r="AG289"/>
  <c r="AE289"/>
  <c r="Z289"/>
  <c r="AO289"/>
  <c r="R289"/>
  <c r="AK289"/>
  <c r="AM289"/>
  <c r="AS288"/>
  <c r="AR288"/>
  <c r="AK288"/>
  <c r="AT288"/>
  <c r="AJ288"/>
  <c r="AI288"/>
  <c r="AG288"/>
  <c r="AE288"/>
  <c r="R288"/>
  <c r="AS287"/>
  <c r="AR287"/>
  <c r="AR292"/>
  <c r="AJ287"/>
  <c r="AI287"/>
  <c r="AG287"/>
  <c r="AE287"/>
  <c r="R287"/>
  <c r="AX285"/>
  <c r="AV285"/>
  <c r="AV307"/>
  <c r="AV460"/>
  <c r="T285"/>
  <c r="S285"/>
  <c r="G285"/>
  <c r="AS284"/>
  <c r="AR284"/>
  <c r="AJ284"/>
  <c r="AI284"/>
  <c r="AG284"/>
  <c r="AE284"/>
  <c r="Z284"/>
  <c r="R284"/>
  <c r="AK284"/>
  <c r="AJ283"/>
  <c r="AG283"/>
  <c r="AE283"/>
  <c r="R283"/>
  <c r="AS282"/>
  <c r="AR282"/>
  <c r="AJ282"/>
  <c r="AI282"/>
  <c r="AG282"/>
  <c r="AE282"/>
  <c r="R282"/>
  <c r="AS281"/>
  <c r="AR281"/>
  <c r="AJ281"/>
  <c r="AI281"/>
  <c r="AG281"/>
  <c r="AE281"/>
  <c r="R281"/>
  <c r="AS280"/>
  <c r="AR280"/>
  <c r="AJ280"/>
  <c r="AI280"/>
  <c r="AG280"/>
  <c r="AE280"/>
  <c r="R280"/>
  <c r="AT279"/>
  <c r="AS279"/>
  <c r="AR279"/>
  <c r="AJ279"/>
  <c r="AI279"/>
  <c r="AE279"/>
  <c r="S279"/>
  <c r="AG279"/>
  <c r="R279"/>
  <c r="AK279"/>
  <c r="AS278"/>
  <c r="AR278"/>
  <c r="AJ278"/>
  <c r="AI278"/>
  <c r="AG278"/>
  <c r="AE278"/>
  <c r="R278"/>
  <c r="AS277"/>
  <c r="AR277"/>
  <c r="AJ277"/>
  <c r="AI277"/>
  <c r="AG277"/>
  <c r="AE277"/>
  <c r="R277"/>
  <c r="AK277"/>
  <c r="I277"/>
  <c r="I285"/>
  <c r="AX275"/>
  <c r="AV275"/>
  <c r="T275"/>
  <c r="S275"/>
  <c r="G275"/>
  <c r="AS274"/>
  <c r="AR274"/>
  <c r="AQ274"/>
  <c r="AL274"/>
  <c r="AU274"/>
  <c r="AJ274"/>
  <c r="AI274"/>
  <c r="AG274"/>
  <c r="AE274"/>
  <c r="R274"/>
  <c r="AS273"/>
  <c r="AR273"/>
  <c r="AQ273"/>
  <c r="AJ273"/>
  <c r="AI273"/>
  <c r="AG273"/>
  <c r="AE273"/>
  <c r="Z273"/>
  <c r="AP273"/>
  <c r="K273"/>
  <c r="R273"/>
  <c r="AK273"/>
  <c r="AT273"/>
  <c r="AS272"/>
  <c r="AR272"/>
  <c r="AQ272"/>
  <c r="AJ272"/>
  <c r="AI272"/>
  <c r="AG272"/>
  <c r="AE272"/>
  <c r="R272"/>
  <c r="AS271"/>
  <c r="AR271"/>
  <c r="AQ271"/>
  <c r="AJ271"/>
  <c r="AI271"/>
  <c r="AG271"/>
  <c r="AE271"/>
  <c r="R271"/>
  <c r="AL271"/>
  <c r="AU271"/>
  <c r="AS270"/>
  <c r="AR270"/>
  <c r="AQ270"/>
  <c r="AJ270"/>
  <c r="AI270"/>
  <c r="AG270"/>
  <c r="AE270"/>
  <c r="R270"/>
  <c r="AS269"/>
  <c r="AR269"/>
  <c r="AQ269"/>
  <c r="AJ269"/>
  <c r="AI269"/>
  <c r="AG269"/>
  <c r="AE269"/>
  <c r="K269"/>
  <c r="R269"/>
  <c r="AS268"/>
  <c r="AR268"/>
  <c r="AQ268"/>
  <c r="AJ268"/>
  <c r="AI268"/>
  <c r="AG268"/>
  <c r="AE268"/>
  <c r="K268"/>
  <c r="R268"/>
  <c r="AK268"/>
  <c r="AS267"/>
  <c r="AR267"/>
  <c r="AQ267"/>
  <c r="AJ267"/>
  <c r="AI267"/>
  <c r="AG267"/>
  <c r="AE267"/>
  <c r="K267"/>
  <c r="R267"/>
  <c r="AL267"/>
  <c r="AU267"/>
  <c r="AS266"/>
  <c r="AR266"/>
  <c r="AQ266"/>
  <c r="AJ266"/>
  <c r="AI266"/>
  <c r="AG266"/>
  <c r="AE266"/>
  <c r="K266"/>
  <c r="R266"/>
  <c r="AL266"/>
  <c r="AS265"/>
  <c r="AR265"/>
  <c r="AJ265"/>
  <c r="AI265"/>
  <c r="AG265"/>
  <c r="AE265"/>
  <c r="R265"/>
  <c r="AK265"/>
  <c r="AT265"/>
  <c r="AS264"/>
  <c r="AR264"/>
  <c r="AQ264"/>
  <c r="AJ264"/>
  <c r="AI264"/>
  <c r="AG264"/>
  <c r="AE264"/>
  <c r="R264"/>
  <c r="AS263"/>
  <c r="AR263"/>
  <c r="AQ263"/>
  <c r="AL263"/>
  <c r="AU263"/>
  <c r="AJ263"/>
  <c r="AI263"/>
  <c r="AG263"/>
  <c r="AE263"/>
  <c r="R263"/>
  <c r="AS262"/>
  <c r="AR262"/>
  <c r="AQ262"/>
  <c r="AJ262"/>
  <c r="AI262"/>
  <c r="AG262"/>
  <c r="AE262"/>
  <c r="I262"/>
  <c r="AX258"/>
  <c r="AV258"/>
  <c r="T258"/>
  <c r="S258"/>
  <c r="G258"/>
  <c r="AP257"/>
  <c r="AO257"/>
  <c r="AO258"/>
  <c r="AJ257"/>
  <c r="AI257"/>
  <c r="AH257"/>
  <c r="AA257"/>
  <c r="AQ257"/>
  <c r="AG257"/>
  <c r="R257"/>
  <c r="AP256"/>
  <c r="AO256"/>
  <c r="AJ256"/>
  <c r="AJ258"/>
  <c r="AI256"/>
  <c r="AG256"/>
  <c r="AH256"/>
  <c r="R256"/>
  <c r="AX254"/>
  <c r="AV254"/>
  <c r="T254"/>
  <c r="S254"/>
  <c r="G254"/>
  <c r="AS253"/>
  <c r="AR253"/>
  <c r="AJ253"/>
  <c r="AI253"/>
  <c r="AG253"/>
  <c r="AE253"/>
  <c r="R253"/>
  <c r="AS252"/>
  <c r="AR252"/>
  <c r="AJ252"/>
  <c r="AI252"/>
  <c r="AG252"/>
  <c r="AE252"/>
  <c r="R252"/>
  <c r="AW251"/>
  <c r="AS251"/>
  <c r="AR251"/>
  <c r="AK251"/>
  <c r="AM251"/>
  <c r="AJ251"/>
  <c r="AN251"/>
  <c r="AI251"/>
  <c r="AG251"/>
  <c r="AE251"/>
  <c r="Z251"/>
  <c r="R251"/>
  <c r="AL251"/>
  <c r="AU251"/>
  <c r="AS250"/>
  <c r="AR250"/>
  <c r="AJ250"/>
  <c r="AI250"/>
  <c r="AG250"/>
  <c r="AE250"/>
  <c r="R250"/>
  <c r="AL250"/>
  <c r="AT249"/>
  <c r="AS249"/>
  <c r="AR249"/>
  <c r="AL249"/>
  <c r="AJ249"/>
  <c r="AI249"/>
  <c r="AE249"/>
  <c r="Z249"/>
  <c r="AO249"/>
  <c r="S249"/>
  <c r="AG249"/>
  <c r="R249"/>
  <c r="AK249"/>
  <c r="AS248"/>
  <c r="AR248"/>
  <c r="AR254"/>
  <c r="AJ248"/>
  <c r="AI248"/>
  <c r="AG248"/>
  <c r="AE248"/>
  <c r="I248"/>
  <c r="I254"/>
  <c r="AX246"/>
  <c r="AV246"/>
  <c r="AV259"/>
  <c r="AV459"/>
  <c r="T246"/>
  <c r="S246"/>
  <c r="I246"/>
  <c r="G246"/>
  <c r="AG245"/>
  <c r="AE245"/>
  <c r="R245"/>
  <c r="AS244"/>
  <c r="AS246"/>
  <c r="AR244"/>
  <c r="AR246"/>
  <c r="AQ244"/>
  <c r="AQ246"/>
  <c r="AJ244"/>
  <c r="AJ246"/>
  <c r="AI244"/>
  <c r="AI246"/>
  <c r="AG244"/>
  <c r="AG246"/>
  <c r="AE244"/>
  <c r="R244"/>
  <c r="AK244"/>
  <c r="AK246"/>
  <c r="AS243"/>
  <c r="AR243"/>
  <c r="AQ243"/>
  <c r="AJ243"/>
  <c r="AI243"/>
  <c r="AG243"/>
  <c r="AE243"/>
  <c r="R243"/>
  <c r="Z243"/>
  <c r="AS242"/>
  <c r="AR242"/>
  <c r="AQ242"/>
  <c r="AP242"/>
  <c r="AO242"/>
  <c r="AL242"/>
  <c r="AK242"/>
  <c r="AT242"/>
  <c r="AJ242"/>
  <c r="AI242"/>
  <c r="AU241"/>
  <c r="AS241"/>
  <c r="AR241"/>
  <c r="AQ241"/>
  <c r="AP241"/>
  <c r="AO241"/>
  <c r="AL241"/>
  <c r="AK241"/>
  <c r="AT241"/>
  <c r="AJ241"/>
  <c r="AN241"/>
  <c r="AI241"/>
  <c r="AX239"/>
  <c r="AV239"/>
  <c r="T239"/>
  <c r="S239"/>
  <c r="G239"/>
  <c r="AP238"/>
  <c r="AO238"/>
  <c r="AJ238"/>
  <c r="AI238"/>
  <c r="AG238"/>
  <c r="R238"/>
  <c r="AP237"/>
  <c r="AO237"/>
  <c r="AJ237"/>
  <c r="AI237"/>
  <c r="AG237"/>
  <c r="AH237"/>
  <c r="AA237"/>
  <c r="AQ237"/>
  <c r="W237"/>
  <c r="R237"/>
  <c r="AP236"/>
  <c r="AO236"/>
  <c r="AJ236"/>
  <c r="AI236"/>
  <c r="AG236"/>
  <c r="R236"/>
  <c r="AW236"/>
  <c r="AP235"/>
  <c r="AO235"/>
  <c r="AJ235"/>
  <c r="AJ239"/>
  <c r="AI235"/>
  <c r="AG235"/>
  <c r="R235"/>
  <c r="W235"/>
  <c r="AG234"/>
  <c r="R234"/>
  <c r="AW234"/>
  <c r="AP233"/>
  <c r="AO233"/>
  <c r="AJ233"/>
  <c r="AI233"/>
  <c r="AG233"/>
  <c r="R233"/>
  <c r="AL233"/>
  <c r="AX231"/>
  <c r="AV231"/>
  <c r="T231"/>
  <c r="S231"/>
  <c r="I231"/>
  <c r="G231"/>
  <c r="AS230"/>
  <c r="AR230"/>
  <c r="AK230"/>
  <c r="AJ230"/>
  <c r="AI230"/>
  <c r="AG230"/>
  <c r="AE230"/>
  <c r="R230"/>
  <c r="AL230"/>
  <c r="AU230"/>
  <c r="AS229"/>
  <c r="AR229"/>
  <c r="AJ229"/>
  <c r="AI229"/>
  <c r="AG229"/>
  <c r="AE229"/>
  <c r="R229"/>
  <c r="AS228"/>
  <c r="AR228"/>
  <c r="AJ228"/>
  <c r="AI228"/>
  <c r="AG228"/>
  <c r="AE228"/>
  <c r="R228"/>
  <c r="AS227"/>
  <c r="AR227"/>
  <c r="AJ227"/>
  <c r="AJ231"/>
  <c r="AI227"/>
  <c r="AG227"/>
  <c r="AE227"/>
  <c r="R227"/>
  <c r="AW226"/>
  <c r="AS226"/>
  <c r="AR226"/>
  <c r="AN226"/>
  <c r="AK226"/>
  <c r="AJ226"/>
  <c r="AI226"/>
  <c r="AG226"/>
  <c r="AE226"/>
  <c r="R226"/>
  <c r="AL226"/>
  <c r="AU226"/>
  <c r="AG225"/>
  <c r="AE225"/>
  <c r="R225"/>
  <c r="AW225"/>
  <c r="AS224"/>
  <c r="AS231"/>
  <c r="AR224"/>
  <c r="AJ224"/>
  <c r="AI224"/>
  <c r="AG224"/>
  <c r="AE224"/>
  <c r="R224"/>
  <c r="AS223"/>
  <c r="AR223"/>
  <c r="AR231"/>
  <c r="AL223"/>
  <c r="AU223"/>
  <c r="AJ223"/>
  <c r="AI223"/>
  <c r="AG223"/>
  <c r="AE223"/>
  <c r="I223"/>
  <c r="R223"/>
  <c r="Z223"/>
  <c r="AX221"/>
  <c r="AV221"/>
  <c r="AV240"/>
  <c r="AV458"/>
  <c r="T221"/>
  <c r="S221"/>
  <c r="S240"/>
  <c r="S458"/>
  <c r="I221"/>
  <c r="G221"/>
  <c r="AS220"/>
  <c r="AR220"/>
  <c r="AQ220"/>
  <c r="AJ220"/>
  <c r="AI220"/>
  <c r="AI221"/>
  <c r="AG220"/>
  <c r="AE220"/>
  <c r="R220"/>
  <c r="AG219"/>
  <c r="AE219"/>
  <c r="Z219"/>
  <c r="AH219"/>
  <c r="AA219"/>
  <c r="AA221"/>
  <c r="R219"/>
  <c r="AS218"/>
  <c r="AS221"/>
  <c r="AR218"/>
  <c r="AQ218"/>
  <c r="AQ221"/>
  <c r="AJ218"/>
  <c r="AJ221"/>
  <c r="AI218"/>
  <c r="AG218"/>
  <c r="AE218"/>
  <c r="AE221"/>
  <c r="I218"/>
  <c r="R218"/>
  <c r="AS217"/>
  <c r="AR217"/>
  <c r="AQ217"/>
  <c r="AP217"/>
  <c r="AO217"/>
  <c r="AL217"/>
  <c r="AK217"/>
  <c r="AJ217"/>
  <c r="AI217"/>
  <c r="AS216"/>
  <c r="AR216"/>
  <c r="AQ216"/>
  <c r="AP216"/>
  <c r="AO216"/>
  <c r="AL216"/>
  <c r="AK216"/>
  <c r="AJ216"/>
  <c r="AN216"/>
  <c r="AI216"/>
  <c r="AX214"/>
  <c r="AV214"/>
  <c r="T214"/>
  <c r="S214"/>
  <c r="G214"/>
  <c r="AW213"/>
  <c r="AP213"/>
  <c r="AO213"/>
  <c r="AL213"/>
  <c r="AU213"/>
  <c r="AJ213"/>
  <c r="AI213"/>
  <c r="AG213"/>
  <c r="AH213"/>
  <c r="AA213"/>
  <c r="AQ213"/>
  <c r="R213"/>
  <c r="AK213"/>
  <c r="AM213"/>
  <c r="AP212"/>
  <c r="AO212"/>
  <c r="AJ212"/>
  <c r="AI212"/>
  <c r="AG212"/>
  <c r="AG214"/>
  <c r="R212"/>
  <c r="AK212"/>
  <c r="AP211"/>
  <c r="AO211"/>
  <c r="AJ211"/>
  <c r="AI211"/>
  <c r="AG211"/>
  <c r="R211"/>
  <c r="AP210"/>
  <c r="AO210"/>
  <c r="AJ210"/>
  <c r="AI210"/>
  <c r="AG210"/>
  <c r="R210"/>
  <c r="AK210"/>
  <c r="AT210"/>
  <c r="AW209"/>
  <c r="AP209"/>
  <c r="AO209"/>
  <c r="AL209"/>
  <c r="AJ209"/>
  <c r="AI209"/>
  <c r="AG209"/>
  <c r="AH209"/>
  <c r="W209"/>
  <c r="R209"/>
  <c r="AK209"/>
  <c r="AM209"/>
  <c r="AX207"/>
  <c r="AV207"/>
  <c r="T207"/>
  <c r="S207"/>
  <c r="G207"/>
  <c r="AS206"/>
  <c r="AR206"/>
  <c r="AJ206"/>
  <c r="AI206"/>
  <c r="AG206"/>
  <c r="AE206"/>
  <c r="R206"/>
  <c r="AK206"/>
  <c r="AR205"/>
  <c r="AK205"/>
  <c r="AJ205"/>
  <c r="AI205"/>
  <c r="AG205"/>
  <c r="AE205"/>
  <c r="R205"/>
  <c r="AS204"/>
  <c r="AR204"/>
  <c r="AK204"/>
  <c r="AT204"/>
  <c r="AJ204"/>
  <c r="AI204"/>
  <c r="AG204"/>
  <c r="AE204"/>
  <c r="R204"/>
  <c r="AS203"/>
  <c r="AR203"/>
  <c r="AJ203"/>
  <c r="AI203"/>
  <c r="AG203"/>
  <c r="AE203"/>
  <c r="R203"/>
  <c r="AS202"/>
  <c r="AR202"/>
  <c r="AJ202"/>
  <c r="AI202"/>
  <c r="AG202"/>
  <c r="AE202"/>
  <c r="R202"/>
  <c r="AK202"/>
  <c r="AT202"/>
  <c r="AS201"/>
  <c r="AR201"/>
  <c r="AJ201"/>
  <c r="AI201"/>
  <c r="AG201"/>
  <c r="AE201"/>
  <c r="R201"/>
  <c r="AW200"/>
  <c r="AG200"/>
  <c r="AE200"/>
  <c r="R200"/>
  <c r="Z200"/>
  <c r="AS199"/>
  <c r="AR199"/>
  <c r="AJ199"/>
  <c r="AI199"/>
  <c r="AG199"/>
  <c r="AE199"/>
  <c r="R199"/>
  <c r="AK199"/>
  <c r="AS198"/>
  <c r="AR198"/>
  <c r="AJ198"/>
  <c r="AI198"/>
  <c r="AG198"/>
  <c r="AE198"/>
  <c r="I198"/>
  <c r="AX196"/>
  <c r="AX215"/>
  <c r="AV196"/>
  <c r="AV215"/>
  <c r="AV457"/>
  <c r="AA196"/>
  <c r="T196"/>
  <c r="S196"/>
  <c r="S215"/>
  <c r="S457"/>
  <c r="G196"/>
  <c r="AW195"/>
  <c r="AS195"/>
  <c r="AR195"/>
  <c r="AQ195"/>
  <c r="AK195"/>
  <c r="AJ195"/>
  <c r="AI195"/>
  <c r="AG195"/>
  <c r="AE195"/>
  <c r="Z195"/>
  <c r="R195"/>
  <c r="AL195"/>
  <c r="AS194"/>
  <c r="AR194"/>
  <c r="AR196"/>
  <c r="AQ194"/>
  <c r="AJ194"/>
  <c r="AJ196"/>
  <c r="AI194"/>
  <c r="AI196"/>
  <c r="AG194"/>
  <c r="AE194"/>
  <c r="I194"/>
  <c r="R194"/>
  <c r="AS193"/>
  <c r="AR193"/>
  <c r="AQ193"/>
  <c r="AP193"/>
  <c r="AO193"/>
  <c r="AL193"/>
  <c r="AK193"/>
  <c r="AJ193"/>
  <c r="AI193"/>
  <c r="AM193"/>
  <c r="AS192"/>
  <c r="AR192"/>
  <c r="AQ192"/>
  <c r="AP192"/>
  <c r="AO192"/>
  <c r="AL192"/>
  <c r="AK192"/>
  <c r="AM192"/>
  <c r="AJ192"/>
  <c r="AI192"/>
  <c r="AV191"/>
  <c r="AV456"/>
  <c r="AX190"/>
  <c r="AV190"/>
  <c r="Z190"/>
  <c r="U190"/>
  <c r="T190"/>
  <c r="S190"/>
  <c r="G190"/>
  <c r="AP189"/>
  <c r="AO189"/>
  <c r="AJ189"/>
  <c r="AI189"/>
  <c r="AG189"/>
  <c r="P189"/>
  <c r="R189"/>
  <c r="AK189"/>
  <c r="AP188"/>
  <c r="AO188"/>
  <c r="AJ188"/>
  <c r="AI188"/>
  <c r="AG188"/>
  <c r="P188"/>
  <c r="R188"/>
  <c r="AP187"/>
  <c r="AO187"/>
  <c r="AJ187"/>
  <c r="AI187"/>
  <c r="AG187"/>
  <c r="R187"/>
  <c r="AL187"/>
  <c r="AN187"/>
  <c r="P187"/>
  <c r="AP186"/>
  <c r="AO186"/>
  <c r="AJ186"/>
  <c r="AI186"/>
  <c r="AG186"/>
  <c r="P186"/>
  <c r="AP185"/>
  <c r="AO185"/>
  <c r="AJ185"/>
  <c r="AI185"/>
  <c r="AI190"/>
  <c r="AG185"/>
  <c r="P185"/>
  <c r="R185"/>
  <c r="AX183"/>
  <c r="AX191"/>
  <c r="AV183"/>
  <c r="T183"/>
  <c r="S183"/>
  <c r="Q183"/>
  <c r="I183"/>
  <c r="G183"/>
  <c r="AW182"/>
  <c r="AS182"/>
  <c r="AS183"/>
  <c r="AR182"/>
  <c r="AQ182"/>
  <c r="AK182"/>
  <c r="AT182"/>
  <c r="AJ182"/>
  <c r="AN182"/>
  <c r="AI182"/>
  <c r="AG182"/>
  <c r="AE182"/>
  <c r="Z182"/>
  <c r="AP182"/>
  <c r="P182"/>
  <c r="R182"/>
  <c r="AL182"/>
  <c r="AU182"/>
  <c r="AS181"/>
  <c r="AR181"/>
  <c r="AQ181"/>
  <c r="AJ181"/>
  <c r="AI181"/>
  <c r="AG181"/>
  <c r="AE181"/>
  <c r="P181"/>
  <c r="R181"/>
  <c r="AS180"/>
  <c r="AR180"/>
  <c r="AQ180"/>
  <c r="AJ180"/>
  <c r="AI180"/>
  <c r="AG180"/>
  <c r="AE180"/>
  <c r="P180"/>
  <c r="R180"/>
  <c r="AK180"/>
  <c r="AS179"/>
  <c r="AR179"/>
  <c r="AQ179"/>
  <c r="AJ179"/>
  <c r="AI179"/>
  <c r="AG179"/>
  <c r="AE179"/>
  <c r="R179"/>
  <c r="AK179"/>
  <c r="AT179"/>
  <c r="P179"/>
  <c r="AS178"/>
  <c r="AR178"/>
  <c r="AQ178"/>
  <c r="AJ178"/>
  <c r="AI178"/>
  <c r="AG178"/>
  <c r="AE178"/>
  <c r="P178"/>
  <c r="R178"/>
  <c r="AL178"/>
  <c r="AU178"/>
  <c r="AS177"/>
  <c r="AR177"/>
  <c r="AJ177"/>
  <c r="AI177"/>
  <c r="AG177"/>
  <c r="AE177"/>
  <c r="P177"/>
  <c r="AX175"/>
  <c r="AV175"/>
  <c r="AA175"/>
  <c r="T175"/>
  <c r="T191"/>
  <c r="T456"/>
  <c r="S175"/>
  <c r="K175"/>
  <c r="J175"/>
  <c r="I175"/>
  <c r="G175"/>
  <c r="AS174"/>
  <c r="AS175"/>
  <c r="AR174"/>
  <c r="AR175"/>
  <c r="AQ174"/>
  <c r="AQ175"/>
  <c r="AJ174"/>
  <c r="AJ175"/>
  <c r="AI174"/>
  <c r="AI175"/>
  <c r="AG174"/>
  <c r="AG175"/>
  <c r="AE174"/>
  <c r="AE175"/>
  <c r="P174"/>
  <c r="R174"/>
  <c r="AS173"/>
  <c r="AR173"/>
  <c r="AQ173"/>
  <c r="AP173"/>
  <c r="AO173"/>
  <c r="AL173"/>
  <c r="AU173"/>
  <c r="AK173"/>
  <c r="AJ173"/>
  <c r="AI173"/>
  <c r="AS172"/>
  <c r="AR172"/>
  <c r="AQ172"/>
  <c r="AP172"/>
  <c r="AO172"/>
  <c r="AL172"/>
  <c r="AU172"/>
  <c r="AK172"/>
  <c r="AJ172"/>
  <c r="AI172"/>
  <c r="AX171"/>
  <c r="AX170"/>
  <c r="AV170"/>
  <c r="T170"/>
  <c r="S170"/>
  <c r="G170"/>
  <c r="AP169"/>
  <c r="AO169"/>
  <c r="AJ169"/>
  <c r="AI169"/>
  <c r="AH169"/>
  <c r="AA169"/>
  <c r="AQ169"/>
  <c r="AG169"/>
  <c r="R169"/>
  <c r="AT168"/>
  <c r="AP168"/>
  <c r="AO168"/>
  <c r="AL168"/>
  <c r="AJ168"/>
  <c r="AI168"/>
  <c r="AG168"/>
  <c r="AH168"/>
  <c r="AA168"/>
  <c r="AQ168"/>
  <c r="W168"/>
  <c r="R168"/>
  <c r="AK168"/>
  <c r="AM168"/>
  <c r="AW167"/>
  <c r="AT167"/>
  <c r="AP167"/>
  <c r="AO167"/>
  <c r="AL167"/>
  <c r="AU167"/>
  <c r="AJ167"/>
  <c r="AN167"/>
  <c r="AI167"/>
  <c r="AG167"/>
  <c r="AH167"/>
  <c r="AA167"/>
  <c r="AQ167"/>
  <c r="W167"/>
  <c r="AS167"/>
  <c r="R167"/>
  <c r="AK167"/>
  <c r="AP166"/>
  <c r="AO166"/>
  <c r="AJ166"/>
  <c r="AI166"/>
  <c r="AG166"/>
  <c r="R166"/>
  <c r="AW166"/>
  <c r="AP165"/>
  <c r="AO165"/>
  <c r="AJ165"/>
  <c r="AI165"/>
  <c r="AG165"/>
  <c r="R165"/>
  <c r="AX163"/>
  <c r="AV163"/>
  <c r="T163"/>
  <c r="S163"/>
  <c r="G163"/>
  <c r="AS162"/>
  <c r="AR162"/>
  <c r="AJ162"/>
  <c r="AI162"/>
  <c r="AG162"/>
  <c r="AE162"/>
  <c r="R162"/>
  <c r="AS161"/>
  <c r="AR161"/>
  <c r="AQ161"/>
  <c r="AL161"/>
  <c r="AU161"/>
  <c r="AJ161"/>
  <c r="AI161"/>
  <c r="AG161"/>
  <c r="AE161"/>
  <c r="R161"/>
  <c r="AS160"/>
  <c r="AR160"/>
  <c r="AJ160"/>
  <c r="AI160"/>
  <c r="AG160"/>
  <c r="AE160"/>
  <c r="R160"/>
  <c r="AK160"/>
  <c r="AT160"/>
  <c r="AS159"/>
  <c r="AR159"/>
  <c r="AJ159"/>
  <c r="AI159"/>
  <c r="AG159"/>
  <c r="AE159"/>
  <c r="R159"/>
  <c r="AL159"/>
  <c r="AS158"/>
  <c r="AR158"/>
  <c r="AQ158"/>
  <c r="AJ158"/>
  <c r="AI158"/>
  <c r="AG158"/>
  <c r="AE158"/>
  <c r="R158"/>
  <c r="AS157"/>
  <c r="AR157"/>
  <c r="AQ157"/>
  <c r="AJ157"/>
  <c r="AI157"/>
  <c r="AG157"/>
  <c r="AE157"/>
  <c r="R157"/>
  <c r="AS156"/>
  <c r="AR156"/>
  <c r="AJ156"/>
  <c r="AI156"/>
  <c r="AI163"/>
  <c r="AG156"/>
  <c r="AE156"/>
  <c r="R156"/>
  <c r="AW155"/>
  <c r="AS155"/>
  <c r="AR155"/>
  <c r="AK155"/>
  <c r="AJ155"/>
  <c r="AI155"/>
  <c r="AG155"/>
  <c r="AE155"/>
  <c r="R155"/>
  <c r="AL155"/>
  <c r="AS154"/>
  <c r="AR154"/>
  <c r="AJ154"/>
  <c r="AI154"/>
  <c r="AG154"/>
  <c r="AE154"/>
  <c r="R154"/>
  <c r="AS153"/>
  <c r="AR153"/>
  <c r="AJ153"/>
  <c r="AI153"/>
  <c r="AG153"/>
  <c r="AE153"/>
  <c r="I153"/>
  <c r="AX151"/>
  <c r="AV151"/>
  <c r="T151"/>
  <c r="S151"/>
  <c r="G151"/>
  <c r="AS150"/>
  <c r="AR150"/>
  <c r="AQ150"/>
  <c r="AJ150"/>
  <c r="AI150"/>
  <c r="AG150"/>
  <c r="AE150"/>
  <c r="P150"/>
  <c r="R150"/>
  <c r="AW150"/>
  <c r="AS149"/>
  <c r="AG149"/>
  <c r="AE149"/>
  <c r="P149"/>
  <c r="R149"/>
  <c r="Z149"/>
  <c r="AS148"/>
  <c r="AR148"/>
  <c r="AQ148"/>
  <c r="AJ148"/>
  <c r="AI148"/>
  <c r="AG148"/>
  <c r="AE148"/>
  <c r="P148"/>
  <c r="AS147"/>
  <c r="AR147"/>
  <c r="AQ147"/>
  <c r="AJ147"/>
  <c r="AI147"/>
  <c r="AG147"/>
  <c r="AE147"/>
  <c r="K147"/>
  <c r="R147"/>
  <c r="AS146"/>
  <c r="AR146"/>
  <c r="AQ146"/>
  <c r="AJ146"/>
  <c r="AI146"/>
  <c r="AG146"/>
  <c r="AH146"/>
  <c r="AE146"/>
  <c r="R146"/>
  <c r="Z146"/>
  <c r="AP146"/>
  <c r="AS145"/>
  <c r="AR145"/>
  <c r="AJ145"/>
  <c r="AI145"/>
  <c r="AG145"/>
  <c r="AE145"/>
  <c r="K145"/>
  <c r="R145"/>
  <c r="AS144"/>
  <c r="AR144"/>
  <c r="AL144"/>
  <c r="AU144"/>
  <c r="AJ144"/>
  <c r="AI144"/>
  <c r="AG144"/>
  <c r="AE144"/>
  <c r="R144"/>
  <c r="AS143"/>
  <c r="AR143"/>
  <c r="AQ143"/>
  <c r="AJ143"/>
  <c r="AI143"/>
  <c r="AG143"/>
  <c r="AE143"/>
  <c r="R143"/>
  <c r="AS142"/>
  <c r="AR142"/>
  <c r="AQ142"/>
  <c r="AJ142"/>
  <c r="AI142"/>
  <c r="AG142"/>
  <c r="AE142"/>
  <c r="R142"/>
  <c r="AS141"/>
  <c r="AR141"/>
  <c r="AQ141"/>
  <c r="AJ141"/>
  <c r="AI141"/>
  <c r="AG141"/>
  <c r="AE141"/>
  <c r="I141"/>
  <c r="I151"/>
  <c r="AX136"/>
  <c r="AV136"/>
  <c r="T136"/>
  <c r="S136"/>
  <c r="S484"/>
  <c r="G136"/>
  <c r="AS135"/>
  <c r="AR135"/>
  <c r="AQ135"/>
  <c r="AJ135"/>
  <c r="AI135"/>
  <c r="AG135"/>
  <c r="AE135"/>
  <c r="P135"/>
  <c r="R135"/>
  <c r="AG134"/>
  <c r="AE134"/>
  <c r="R134"/>
  <c r="AW134"/>
  <c r="AR133"/>
  <c r="AJ133"/>
  <c r="AI133"/>
  <c r="AG133"/>
  <c r="AE133"/>
  <c r="R133"/>
  <c r="AW133"/>
  <c r="AS132"/>
  <c r="AR132"/>
  <c r="AJ132"/>
  <c r="AI132"/>
  <c r="AG132"/>
  <c r="AE132"/>
  <c r="R132"/>
  <c r="AS131"/>
  <c r="AR131"/>
  <c r="AJ131"/>
  <c r="AI131"/>
  <c r="AG131"/>
  <c r="AE131"/>
  <c r="R131"/>
  <c r="AK131"/>
  <c r="AT131"/>
  <c r="AS130"/>
  <c r="AR130"/>
  <c r="AJ130"/>
  <c r="AI130"/>
  <c r="AG130"/>
  <c r="AE130"/>
  <c r="R130"/>
  <c r="AW130"/>
  <c r="AS129"/>
  <c r="AR129"/>
  <c r="AJ129"/>
  <c r="AI129"/>
  <c r="AG129"/>
  <c r="AE129"/>
  <c r="R129"/>
  <c r="AK129"/>
  <c r="AT129"/>
  <c r="AW128"/>
  <c r="AS128"/>
  <c r="AR128"/>
  <c r="AP128"/>
  <c r="AL128"/>
  <c r="AU128"/>
  <c r="AJ128"/>
  <c r="AI128"/>
  <c r="AG128"/>
  <c r="AE128"/>
  <c r="Z128"/>
  <c r="AO128"/>
  <c r="R128"/>
  <c r="AK128"/>
  <c r="AM128"/>
  <c r="AS127"/>
  <c r="AR127"/>
  <c r="AK127"/>
  <c r="AT127"/>
  <c r="AJ127"/>
  <c r="AI127"/>
  <c r="AG127"/>
  <c r="AE127"/>
  <c r="R127"/>
  <c r="AS126"/>
  <c r="AR126"/>
  <c r="AJ126"/>
  <c r="AI126"/>
  <c r="AG126"/>
  <c r="AE126"/>
  <c r="R126"/>
  <c r="AK126"/>
  <c r="AM126"/>
  <c r="AS125"/>
  <c r="AR125"/>
  <c r="AJ125"/>
  <c r="AI125"/>
  <c r="AG125"/>
  <c r="AE125"/>
  <c r="R125"/>
  <c r="AK125"/>
  <c r="AT125"/>
  <c r="AS124"/>
  <c r="AR124"/>
  <c r="AL124"/>
  <c r="AU124"/>
  <c r="AJ124"/>
  <c r="AI124"/>
  <c r="AG124"/>
  <c r="AE124"/>
  <c r="R124"/>
  <c r="AS123"/>
  <c r="AR123"/>
  <c r="AR136"/>
  <c r="AJ123"/>
  <c r="AJ136"/>
  <c r="AI123"/>
  <c r="AG123"/>
  <c r="AE123"/>
  <c r="R123"/>
  <c r="AK123"/>
  <c r="AX121"/>
  <c r="AV121"/>
  <c r="T121"/>
  <c r="S121"/>
  <c r="G121"/>
  <c r="AJ120"/>
  <c r="AI120"/>
  <c r="AG120"/>
  <c r="AE120"/>
  <c r="P120"/>
  <c r="R120"/>
  <c r="AK120"/>
  <c r="AM120"/>
  <c r="AS119"/>
  <c r="AR119"/>
  <c r="AQ119"/>
  <c r="AL119"/>
  <c r="AU119"/>
  <c r="AJ119"/>
  <c r="AI119"/>
  <c r="AG119"/>
  <c r="AE119"/>
  <c r="R119"/>
  <c r="AS118"/>
  <c r="AR118"/>
  <c r="AQ118"/>
  <c r="AJ118"/>
  <c r="AI118"/>
  <c r="AG118"/>
  <c r="AE118"/>
  <c r="R118"/>
  <c r="AJ117"/>
  <c r="AG117"/>
  <c r="AE117"/>
  <c r="R117"/>
  <c r="AS116"/>
  <c r="AR116"/>
  <c r="AQ116"/>
  <c r="AJ116"/>
  <c r="AI116"/>
  <c r="AG116"/>
  <c r="AE116"/>
  <c r="R116"/>
  <c r="AL116"/>
  <c r="AU116"/>
  <c r="AS115"/>
  <c r="AJ115"/>
  <c r="AI115"/>
  <c r="AG115"/>
  <c r="AE115"/>
  <c r="R115"/>
  <c r="AS114"/>
  <c r="AR114"/>
  <c r="AJ114"/>
  <c r="AI114"/>
  <c r="AG114"/>
  <c r="AE114"/>
  <c r="R114"/>
  <c r="AS113"/>
  <c r="AR113"/>
  <c r="AQ113"/>
  <c r="AJ113"/>
  <c r="AI113"/>
  <c r="AG113"/>
  <c r="AE113"/>
  <c r="R113"/>
  <c r="AS112"/>
  <c r="AR112"/>
  <c r="AQ112"/>
  <c r="AJ112"/>
  <c r="AI112"/>
  <c r="AG112"/>
  <c r="AE112"/>
  <c r="R112"/>
  <c r="AL112"/>
  <c r="AU112"/>
  <c r="P112"/>
  <c r="AS111"/>
  <c r="AR111"/>
  <c r="AQ111"/>
  <c r="AJ111"/>
  <c r="AI111"/>
  <c r="AG111"/>
  <c r="AE111"/>
  <c r="R111"/>
  <c r="AL111"/>
  <c r="AU111"/>
  <c r="P111"/>
  <c r="AS110"/>
  <c r="AR110"/>
  <c r="AQ110"/>
  <c r="AJ110"/>
  <c r="AI110"/>
  <c r="AG110"/>
  <c r="AE110"/>
  <c r="R110"/>
  <c r="AS109"/>
  <c r="AR109"/>
  <c r="AQ109"/>
  <c r="AK109"/>
  <c r="AT109"/>
  <c r="AJ109"/>
  <c r="AI109"/>
  <c r="AG109"/>
  <c r="AH109"/>
  <c r="AE109"/>
  <c r="Z109"/>
  <c r="AP109"/>
  <c r="R109"/>
  <c r="AL109"/>
  <c r="AS108"/>
  <c r="AR108"/>
  <c r="AQ108"/>
  <c r="AJ108"/>
  <c r="AI108"/>
  <c r="AG108"/>
  <c r="AE108"/>
  <c r="P108"/>
  <c r="R108"/>
  <c r="AK108"/>
  <c r="AT108"/>
  <c r="AJ107"/>
  <c r="AI107"/>
  <c r="AG107"/>
  <c r="AE107"/>
  <c r="R107"/>
  <c r="P107"/>
  <c r="AS106"/>
  <c r="AR106"/>
  <c r="AQ106"/>
  <c r="AJ106"/>
  <c r="AI106"/>
  <c r="AG106"/>
  <c r="AE106"/>
  <c r="P106"/>
  <c r="R106"/>
  <c r="AS105"/>
  <c r="AR105"/>
  <c r="AJ105"/>
  <c r="AI105"/>
  <c r="AG105"/>
  <c r="AE105"/>
  <c r="P105"/>
  <c r="R105"/>
  <c r="AS104"/>
  <c r="AR104"/>
  <c r="AQ104"/>
  <c r="AJ104"/>
  <c r="AI104"/>
  <c r="AG104"/>
  <c r="AE104"/>
  <c r="R104"/>
  <c r="AT103"/>
  <c r="AS103"/>
  <c r="AR103"/>
  <c r="AL103"/>
  <c r="AU103"/>
  <c r="AJ103"/>
  <c r="AI103"/>
  <c r="AG103"/>
  <c r="AE103"/>
  <c r="R103"/>
  <c r="AK103"/>
  <c r="AM103"/>
  <c r="AS102"/>
  <c r="AR102"/>
  <c r="AJ102"/>
  <c r="AI102"/>
  <c r="AG102"/>
  <c r="AE102"/>
  <c r="R102"/>
  <c r="AK102"/>
  <c r="AS101"/>
  <c r="AR101"/>
  <c r="AQ101"/>
  <c r="AJ101"/>
  <c r="AI101"/>
  <c r="AG101"/>
  <c r="AE101"/>
  <c r="P101"/>
  <c r="R101"/>
  <c r="AL101"/>
  <c r="AU101"/>
  <c r="AS100"/>
  <c r="AR100"/>
  <c r="AQ100"/>
  <c r="AJ100"/>
  <c r="AI100"/>
  <c r="AG100"/>
  <c r="AE100"/>
  <c r="K100"/>
  <c r="R100"/>
  <c r="Z100"/>
  <c r="AP100"/>
  <c r="AS99"/>
  <c r="AR99"/>
  <c r="AJ99"/>
  <c r="AI99"/>
  <c r="AG99"/>
  <c r="AE99"/>
  <c r="R99"/>
  <c r="AG98"/>
  <c r="AE98"/>
  <c r="Z98"/>
  <c r="AH98"/>
  <c r="AA98"/>
  <c r="R98"/>
  <c r="AW98"/>
  <c r="AS97"/>
  <c r="AR97"/>
  <c r="AQ97"/>
  <c r="AJ97"/>
  <c r="AI97"/>
  <c r="AG97"/>
  <c r="AE97"/>
  <c r="R97"/>
  <c r="Z97"/>
  <c r="AV94"/>
  <c r="AV453"/>
  <c r="T94"/>
  <c r="G94"/>
  <c r="AW93"/>
  <c r="AS93"/>
  <c r="AR93"/>
  <c r="AP93"/>
  <c r="AO93"/>
  <c r="AN93"/>
  <c r="AL93"/>
  <c r="AU93"/>
  <c r="AK93"/>
  <c r="AJ93"/>
  <c r="AI93"/>
  <c r="AG93"/>
  <c r="AH93"/>
  <c r="AA93"/>
  <c r="AS92"/>
  <c r="AR92"/>
  <c r="AP92"/>
  <c r="AO92"/>
  <c r="AJ92"/>
  <c r="AI92"/>
  <c r="AG92"/>
  <c r="R92"/>
  <c r="AK92"/>
  <c r="AT91"/>
  <c r="AS91"/>
  <c r="AR91"/>
  <c r="AP91"/>
  <c r="AO91"/>
  <c r="AJ91"/>
  <c r="AI91"/>
  <c r="AG91"/>
  <c r="AH91"/>
  <c r="AA91"/>
  <c r="AQ91"/>
  <c r="R91"/>
  <c r="AK91"/>
  <c r="AW90"/>
  <c r="AS90"/>
  <c r="AR90"/>
  <c r="AP90"/>
  <c r="AO90"/>
  <c r="AJ90"/>
  <c r="AI90"/>
  <c r="AH90"/>
  <c r="AA90"/>
  <c r="AQ90"/>
  <c r="AG90"/>
  <c r="R90"/>
  <c r="AW89"/>
  <c r="AS89"/>
  <c r="AR89"/>
  <c r="AP89"/>
  <c r="AO89"/>
  <c r="AJ89"/>
  <c r="AI89"/>
  <c r="AH89"/>
  <c r="AA89"/>
  <c r="AQ89"/>
  <c r="AG89"/>
  <c r="R89"/>
  <c r="AK89"/>
  <c r="AM89"/>
  <c r="AW88"/>
  <c r="AS88"/>
  <c r="AR88"/>
  <c r="AP88"/>
  <c r="AO88"/>
  <c r="AJ88"/>
  <c r="AI88"/>
  <c r="AG88"/>
  <c r="R88"/>
  <c r="AK88"/>
  <c r="AT87"/>
  <c r="AS87"/>
  <c r="AR87"/>
  <c r="AP87"/>
  <c r="AO87"/>
  <c r="AJ87"/>
  <c r="AI87"/>
  <c r="AG87"/>
  <c r="AH87"/>
  <c r="AA87"/>
  <c r="AQ87"/>
  <c r="R87"/>
  <c r="AK87"/>
  <c r="AW86"/>
  <c r="AS86"/>
  <c r="AR86"/>
  <c r="AP86"/>
  <c r="AO86"/>
  <c r="AJ86"/>
  <c r="AI86"/>
  <c r="AG86"/>
  <c r="AH86"/>
  <c r="AA86"/>
  <c r="AQ86"/>
  <c r="R86"/>
  <c r="AW85"/>
  <c r="AT85"/>
  <c r="AS85"/>
  <c r="AR85"/>
  <c r="AP85"/>
  <c r="AO85"/>
  <c r="AJ85"/>
  <c r="AI85"/>
  <c r="AG85"/>
  <c r="AH85"/>
  <c r="AA85"/>
  <c r="AQ85"/>
  <c r="R85"/>
  <c r="AK85"/>
  <c r="AM85"/>
  <c r="AW84"/>
  <c r="AS84"/>
  <c r="AR84"/>
  <c r="AP84"/>
  <c r="AO84"/>
  <c r="AJ84"/>
  <c r="AI84"/>
  <c r="AG84"/>
  <c r="R84"/>
  <c r="AK84"/>
  <c r="AS83"/>
  <c r="AR83"/>
  <c r="AP83"/>
  <c r="AO83"/>
  <c r="AJ83"/>
  <c r="AI83"/>
  <c r="AG83"/>
  <c r="R83"/>
  <c r="AL82"/>
  <c r="AG81"/>
  <c r="R81"/>
  <c r="AS80"/>
  <c r="AR80"/>
  <c r="AP80"/>
  <c r="AO80"/>
  <c r="AJ80"/>
  <c r="AI80"/>
  <c r="AG80"/>
  <c r="R80"/>
  <c r="AK80"/>
  <c r="AT80"/>
  <c r="AS79"/>
  <c r="AR79"/>
  <c r="AP79"/>
  <c r="AO79"/>
  <c r="AJ79"/>
  <c r="AI79"/>
  <c r="AG79"/>
  <c r="R79"/>
  <c r="AK79"/>
  <c r="AW78"/>
  <c r="AT78"/>
  <c r="AP78"/>
  <c r="AO78"/>
  <c r="AL78"/>
  <c r="AJ78"/>
  <c r="AI78"/>
  <c r="AG78"/>
  <c r="AH78"/>
  <c r="AA78"/>
  <c r="W78"/>
  <c r="AS78"/>
  <c r="R78"/>
  <c r="AK78"/>
  <c r="AM78"/>
  <c r="AP77"/>
  <c r="AO77"/>
  <c r="AJ77"/>
  <c r="AI77"/>
  <c r="AG77"/>
  <c r="AH77"/>
  <c r="AA77"/>
  <c r="AQ77"/>
  <c r="R77"/>
  <c r="AK77"/>
  <c r="AT77"/>
  <c r="AR76"/>
  <c r="AP76"/>
  <c r="AO76"/>
  <c r="AL76"/>
  <c r="AU76"/>
  <c r="AK76"/>
  <c r="AM76"/>
  <c r="AJ76"/>
  <c r="AI76"/>
  <c r="AG76"/>
  <c r="AH76"/>
  <c r="AA76"/>
  <c r="AQ76"/>
  <c r="W76"/>
  <c r="AS76"/>
  <c r="R76"/>
  <c r="AW76"/>
  <c r="AP75"/>
  <c r="AO75"/>
  <c r="AJ75"/>
  <c r="AI75"/>
  <c r="AG75"/>
  <c r="R75"/>
  <c r="AL75"/>
  <c r="AN75"/>
  <c r="AL74"/>
  <c r="AS73"/>
  <c r="AR73"/>
  <c r="AP73"/>
  <c r="AO73"/>
  <c r="AJ73"/>
  <c r="AI73"/>
  <c r="AG73"/>
  <c r="R73"/>
  <c r="AW72"/>
  <c r="AS72"/>
  <c r="AR72"/>
  <c r="AP72"/>
  <c r="AO72"/>
  <c r="AJ72"/>
  <c r="AI72"/>
  <c r="AG72"/>
  <c r="R72"/>
  <c r="AL72"/>
  <c r="AN72"/>
  <c r="AW71"/>
  <c r="AS71"/>
  <c r="AR71"/>
  <c r="AP71"/>
  <c r="AO71"/>
  <c r="AJ71"/>
  <c r="AI71"/>
  <c r="AG71"/>
  <c r="R71"/>
  <c r="AL71"/>
  <c r="AU71"/>
  <c r="AU70"/>
  <c r="AS70"/>
  <c r="AR70"/>
  <c r="AP70"/>
  <c r="AO70"/>
  <c r="AN70"/>
  <c r="AK70"/>
  <c r="AT70"/>
  <c r="AJ70"/>
  <c r="AI70"/>
  <c r="AG70"/>
  <c r="AH70"/>
  <c r="AA70"/>
  <c r="AQ70"/>
  <c r="R70"/>
  <c r="AL70"/>
  <c r="AS69"/>
  <c r="AR69"/>
  <c r="AP69"/>
  <c r="AO69"/>
  <c r="AJ69"/>
  <c r="AI69"/>
  <c r="AG69"/>
  <c r="S69"/>
  <c r="S94"/>
  <c r="R69"/>
  <c r="AL69"/>
  <c r="AU69"/>
  <c r="AG68"/>
  <c r="R68"/>
  <c r="AW68"/>
  <c r="AH67"/>
  <c r="AA67"/>
  <c r="AB67"/>
  <c r="AG67"/>
  <c r="R67"/>
  <c r="AW67"/>
  <c r="AS66"/>
  <c r="AR66"/>
  <c r="AP66"/>
  <c r="AO66"/>
  <c r="AJ66"/>
  <c r="AI66"/>
  <c r="AG66"/>
  <c r="R66"/>
  <c r="AK66"/>
  <c r="AW65"/>
  <c r="AS65"/>
  <c r="AR65"/>
  <c r="AP65"/>
  <c r="AO65"/>
  <c r="AJ65"/>
  <c r="AI65"/>
  <c r="AG65"/>
  <c r="AH65"/>
  <c r="AA65"/>
  <c r="R65"/>
  <c r="AL65"/>
  <c r="AN65"/>
  <c r="AL64"/>
  <c r="AS63"/>
  <c r="AR63"/>
  <c r="AP63"/>
  <c r="AO63"/>
  <c r="AJ63"/>
  <c r="AI63"/>
  <c r="AG63"/>
  <c r="R63"/>
  <c r="AW62"/>
  <c r="AS62"/>
  <c r="AR62"/>
  <c r="AP62"/>
  <c r="AO62"/>
  <c r="AN62"/>
  <c r="AL62"/>
  <c r="AU62"/>
  <c r="AJ62"/>
  <c r="AI62"/>
  <c r="AG62"/>
  <c r="AH62"/>
  <c r="AA62"/>
  <c r="R62"/>
  <c r="AK62"/>
  <c r="AR61"/>
  <c r="AP61"/>
  <c r="AO61"/>
  <c r="AL61"/>
  <c r="AU61"/>
  <c r="AK61"/>
  <c r="AM61"/>
  <c r="AJ61"/>
  <c r="AI61"/>
  <c r="AG61"/>
  <c r="AH61"/>
  <c r="AA61"/>
  <c r="AQ61"/>
  <c r="R61"/>
  <c r="W61"/>
  <c r="AS61"/>
  <c r="AP60"/>
  <c r="AO60"/>
  <c r="AL60"/>
  <c r="AK60"/>
  <c r="AM60"/>
  <c r="AJ60"/>
  <c r="AI60"/>
  <c r="AG60"/>
  <c r="AH60"/>
  <c r="AA60"/>
  <c r="AQ60"/>
  <c r="W60"/>
  <c r="AS60"/>
  <c r="R60"/>
  <c r="AL59"/>
  <c r="AU58"/>
  <c r="AS58"/>
  <c r="AR58"/>
  <c r="AP58"/>
  <c r="AO58"/>
  <c r="AK58"/>
  <c r="AT58"/>
  <c r="AJ58"/>
  <c r="AI58"/>
  <c r="AG58"/>
  <c r="I58"/>
  <c r="R58"/>
  <c r="AL58"/>
  <c r="AN58"/>
  <c r="AS57"/>
  <c r="AR57"/>
  <c r="AP57"/>
  <c r="AO57"/>
  <c r="AJ57"/>
  <c r="AI57"/>
  <c r="AG57"/>
  <c r="I57"/>
  <c r="R57"/>
  <c r="AW57"/>
  <c r="AS56"/>
  <c r="AR56"/>
  <c r="AP56"/>
  <c r="AO56"/>
  <c r="AJ56"/>
  <c r="AI56"/>
  <c r="AG56"/>
  <c r="I56"/>
  <c r="R56"/>
  <c r="AS55"/>
  <c r="AR55"/>
  <c r="AP55"/>
  <c r="AO55"/>
  <c r="AM55"/>
  <c r="AJ55"/>
  <c r="AI55"/>
  <c r="AG55"/>
  <c r="AH55"/>
  <c r="AA55"/>
  <c r="AQ55"/>
  <c r="I55"/>
  <c r="R55"/>
  <c r="AK55"/>
  <c r="AT55"/>
  <c r="AS54"/>
  <c r="AR54"/>
  <c r="AP54"/>
  <c r="AO54"/>
  <c r="AJ54"/>
  <c r="AI54"/>
  <c r="AG54"/>
  <c r="I54"/>
  <c r="R54"/>
  <c r="AL54"/>
  <c r="AU54"/>
  <c r="AS53"/>
  <c r="AR53"/>
  <c r="AP53"/>
  <c r="AO53"/>
  <c r="AJ53"/>
  <c r="AI53"/>
  <c r="AG53"/>
  <c r="I53"/>
  <c r="R53"/>
  <c r="AL52"/>
  <c r="AS51"/>
  <c r="AR51"/>
  <c r="AP51"/>
  <c r="AO51"/>
  <c r="AJ51"/>
  <c r="AI51"/>
  <c r="AG51"/>
  <c r="AH51"/>
  <c r="AA51"/>
  <c r="R51"/>
  <c r="AS50"/>
  <c r="AR50"/>
  <c r="AP50"/>
  <c r="AO50"/>
  <c r="AJ50"/>
  <c r="AI50"/>
  <c r="AG50"/>
  <c r="R50"/>
  <c r="AH50"/>
  <c r="AA50"/>
  <c r="AQ50"/>
  <c r="AL49"/>
  <c r="AS48"/>
  <c r="AR48"/>
  <c r="AP48"/>
  <c r="AO48"/>
  <c r="AJ48"/>
  <c r="AI48"/>
  <c r="AG48"/>
  <c r="AH48"/>
  <c r="R48"/>
  <c r="AK48"/>
  <c r="AT48"/>
  <c r="AV46"/>
  <c r="T46"/>
  <c r="S46"/>
  <c r="G46"/>
  <c r="AO45"/>
  <c r="AJ45"/>
  <c r="AI45"/>
  <c r="AG45"/>
  <c r="R45"/>
  <c r="AK45"/>
  <c r="AW44"/>
  <c r="AS44"/>
  <c r="AR44"/>
  <c r="AP44"/>
  <c r="AO44"/>
  <c r="AJ44"/>
  <c r="AI44"/>
  <c r="AG44"/>
  <c r="AH44"/>
  <c r="AA44"/>
  <c r="R44"/>
  <c r="AL44"/>
  <c r="AU44"/>
  <c r="AS43"/>
  <c r="AR43"/>
  <c r="AP43"/>
  <c r="AO43"/>
  <c r="AJ43"/>
  <c r="AI43"/>
  <c r="AG43"/>
  <c r="R43"/>
  <c r="AW43"/>
  <c r="AW42"/>
  <c r="AS42"/>
  <c r="AR42"/>
  <c r="AP42"/>
  <c r="AO42"/>
  <c r="AJ42"/>
  <c r="AI42"/>
  <c r="AG42"/>
  <c r="AH42"/>
  <c r="AA42"/>
  <c r="R42"/>
  <c r="AL42"/>
  <c r="AS41"/>
  <c r="AR41"/>
  <c r="AP41"/>
  <c r="AO41"/>
  <c r="AJ41"/>
  <c r="AI41"/>
  <c r="AG41"/>
  <c r="AH41"/>
  <c r="AA41"/>
  <c r="AQ41"/>
  <c r="R41"/>
  <c r="AL41"/>
  <c r="AN41"/>
  <c r="AS40"/>
  <c r="AR40"/>
  <c r="AP40"/>
  <c r="AO40"/>
  <c r="AJ40"/>
  <c r="AI40"/>
  <c r="AG40"/>
  <c r="R40"/>
  <c r="AK40"/>
  <c r="AM40"/>
  <c r="AW39"/>
  <c r="AS39"/>
  <c r="AR39"/>
  <c r="AP39"/>
  <c r="AO39"/>
  <c r="AJ39"/>
  <c r="AI39"/>
  <c r="AG39"/>
  <c r="R39"/>
  <c r="AL39"/>
  <c r="AS38"/>
  <c r="AR38"/>
  <c r="AR46"/>
  <c r="AR452"/>
  <c r="AP38"/>
  <c r="AO38"/>
  <c r="AJ38"/>
  <c r="AI38"/>
  <c r="AG38"/>
  <c r="R38"/>
  <c r="AH38"/>
  <c r="AV36"/>
  <c r="AU36"/>
  <c r="AT36"/>
  <c r="AS36"/>
  <c r="AR36"/>
  <c r="AQ36"/>
  <c r="AP36"/>
  <c r="AO36"/>
  <c r="AN36"/>
  <c r="AM36"/>
  <c r="AL36"/>
  <c r="AK36"/>
  <c r="AJ36"/>
  <c r="AI36"/>
  <c r="S36"/>
  <c r="G36"/>
  <c r="AG35"/>
  <c r="AH35"/>
  <c r="AA35"/>
  <c r="AB35"/>
  <c r="R35"/>
  <c r="AW35"/>
  <c r="AH34"/>
  <c r="AA34"/>
  <c r="AA36"/>
  <c r="AG34"/>
  <c r="AG36"/>
  <c r="R34"/>
  <c r="AW34"/>
  <c r="AW36"/>
  <c r="AV32"/>
  <c r="AV451"/>
  <c r="T32"/>
  <c r="T451"/>
  <c r="S32"/>
  <c r="S451"/>
  <c r="G32"/>
  <c r="AW31"/>
  <c r="AS31"/>
  <c r="AR31"/>
  <c r="AP31"/>
  <c r="AO31"/>
  <c r="AJ31"/>
  <c r="AI31"/>
  <c r="AG31"/>
  <c r="R31"/>
  <c r="AL31"/>
  <c r="AS30"/>
  <c r="AR30"/>
  <c r="AJ30"/>
  <c r="AI30"/>
  <c r="AG30"/>
  <c r="AE30"/>
  <c r="R30"/>
  <c r="AW30"/>
  <c r="AS29"/>
  <c r="AR29"/>
  <c r="AR32"/>
  <c r="AR451"/>
  <c r="AP29"/>
  <c r="AO29"/>
  <c r="AJ29"/>
  <c r="AI29"/>
  <c r="AG29"/>
  <c r="R29"/>
  <c r="AW29"/>
  <c r="AV27"/>
  <c r="AV450"/>
  <c r="T27"/>
  <c r="T450"/>
  <c r="S27"/>
  <c r="S450"/>
  <c r="AS26"/>
  <c r="AR26"/>
  <c r="AP26"/>
  <c r="AO26"/>
  <c r="AJ26"/>
  <c r="AI26"/>
  <c r="AG26"/>
  <c r="R26"/>
  <c r="AL26"/>
  <c r="AS25"/>
  <c r="AR25"/>
  <c r="AP25"/>
  <c r="AO25"/>
  <c r="AJ25"/>
  <c r="AI25"/>
  <c r="AG25"/>
  <c r="R25"/>
  <c r="AK25"/>
  <c r="AS24"/>
  <c r="AR24"/>
  <c r="AP24"/>
  <c r="AO24"/>
  <c r="AJ24"/>
  <c r="AI24"/>
  <c r="AG24"/>
  <c r="AH24"/>
  <c r="AA24"/>
  <c r="AQ24"/>
  <c r="R24"/>
  <c r="AL24"/>
  <c r="AS23"/>
  <c r="AR23"/>
  <c r="AP23"/>
  <c r="AO23"/>
  <c r="AJ23"/>
  <c r="AI23"/>
  <c r="AG23"/>
  <c r="R23"/>
  <c r="AL23"/>
  <c r="AW22"/>
  <c r="AS22"/>
  <c r="AR22"/>
  <c r="AP22"/>
  <c r="AO22"/>
  <c r="AJ22"/>
  <c r="AI22"/>
  <c r="AG22"/>
  <c r="AG27"/>
  <c r="AG450"/>
  <c r="R22"/>
  <c r="AL22"/>
  <c r="AS21"/>
  <c r="AR21"/>
  <c r="AR27"/>
  <c r="AR450"/>
  <c r="AQ21"/>
  <c r="AP21"/>
  <c r="AO21"/>
  <c r="AG21"/>
  <c r="AS20"/>
  <c r="AR20"/>
  <c r="AQ20"/>
  <c r="AP20"/>
  <c r="AO20"/>
  <c r="AL20"/>
  <c r="AK20"/>
  <c r="AJ20"/>
  <c r="AI20"/>
  <c r="AV19"/>
  <c r="T19"/>
  <c r="S19"/>
  <c r="AS18"/>
  <c r="AR18"/>
  <c r="AP18"/>
  <c r="AO18"/>
  <c r="AJ18"/>
  <c r="AI18"/>
  <c r="AG18"/>
  <c r="R18"/>
  <c r="AL18"/>
  <c r="AS17"/>
  <c r="AR17"/>
  <c r="AQ17"/>
  <c r="AJ17"/>
  <c r="AI17"/>
  <c r="AG17"/>
  <c r="AE17"/>
  <c r="N17"/>
  <c r="R17"/>
  <c r="I17"/>
  <c r="AS16"/>
  <c r="AR16"/>
  <c r="AQ16"/>
  <c r="AP16"/>
  <c r="AO16"/>
  <c r="AG16"/>
  <c r="AS15"/>
  <c r="AR15"/>
  <c r="AQ15"/>
  <c r="AP15"/>
  <c r="AO15"/>
  <c r="AJ15"/>
  <c r="AI15"/>
  <c r="N15"/>
  <c r="R15"/>
  <c r="AS14"/>
  <c r="AR14"/>
  <c r="AQ14"/>
  <c r="AG14"/>
  <c r="AE14"/>
  <c r="AS13"/>
  <c r="AR13"/>
  <c r="AR19"/>
  <c r="AQ13"/>
  <c r="AG13"/>
  <c r="AE13"/>
  <c r="I13"/>
  <c r="B13"/>
  <c r="B14"/>
  <c r="B16"/>
  <c r="B17"/>
  <c r="B18"/>
  <c r="B21"/>
  <c r="B22"/>
  <c r="B23"/>
  <c r="B24"/>
  <c r="B25"/>
  <c r="B26"/>
  <c r="B29"/>
  <c r="B30"/>
  <c r="B31"/>
  <c r="B34"/>
  <c r="B35"/>
  <c r="B39"/>
  <c r="B40"/>
  <c r="B41"/>
  <c r="B42"/>
  <c r="B44"/>
  <c r="B45"/>
  <c r="B48"/>
  <c r="B50"/>
  <c r="B51"/>
  <c r="B53"/>
  <c r="B54"/>
  <c r="B55"/>
  <c r="B56"/>
  <c r="B57"/>
  <c r="B58"/>
  <c r="B60"/>
  <c r="B61"/>
  <c r="B62"/>
  <c r="B63"/>
  <c r="B65"/>
  <c r="B66"/>
  <c r="B67"/>
  <c r="B68"/>
  <c r="B69"/>
  <c r="B70"/>
  <c r="B71"/>
  <c r="B72"/>
  <c r="B73"/>
  <c r="B75"/>
  <c r="B76"/>
  <c r="B77"/>
  <c r="B78"/>
  <c r="B79"/>
  <c r="B80"/>
  <c r="B81"/>
  <c r="B83"/>
  <c r="B84"/>
  <c r="B85"/>
  <c r="B86"/>
  <c r="B87"/>
  <c r="B88"/>
  <c r="B89"/>
  <c r="B90"/>
  <c r="B91"/>
  <c r="B92"/>
  <c r="B97"/>
  <c r="B98"/>
  <c r="B99"/>
  <c r="B100"/>
  <c r="B101"/>
  <c r="B102"/>
  <c r="B103"/>
  <c r="B104"/>
  <c r="B105"/>
  <c r="B106"/>
  <c r="B107"/>
  <c r="B108"/>
  <c r="B109"/>
  <c r="AS12"/>
  <c r="AS19"/>
  <c r="AR12"/>
  <c r="AQ12"/>
  <c r="AG12"/>
  <c r="AG19"/>
  <c r="I12"/>
  <c r="I19"/>
  <c r="AG11"/>
  <c r="I11"/>
  <c r="K11"/>
  <c r="R11"/>
  <c r="AF10"/>
  <c r="AD10"/>
  <c r="I10"/>
  <c r="R10"/>
  <c r="AQ93"/>
  <c r="AB93"/>
  <c r="AQ78"/>
  <c r="AB78"/>
  <c r="AE78"/>
  <c r="AF78"/>
  <c r="AC78"/>
  <c r="AB200"/>
  <c r="AW18"/>
  <c r="AM92"/>
  <c r="AT92"/>
  <c r="AK99"/>
  <c r="AM99"/>
  <c r="AK211"/>
  <c r="AW211"/>
  <c r="AL211"/>
  <c r="AK236"/>
  <c r="AK295"/>
  <c r="AM295"/>
  <c r="AL295"/>
  <c r="W295"/>
  <c r="AW295"/>
  <c r="Z405"/>
  <c r="AH405"/>
  <c r="AA405"/>
  <c r="AW405"/>
  <c r="AH26"/>
  <c r="AA26"/>
  <c r="AW26"/>
  <c r="AK29"/>
  <c r="AT29"/>
  <c r="AS32"/>
  <c r="AS451"/>
  <c r="AK31"/>
  <c r="R36"/>
  <c r="AL48"/>
  <c r="AK83"/>
  <c r="AT83"/>
  <c r="AW83"/>
  <c r="AL83"/>
  <c r="AU83"/>
  <c r="AM88"/>
  <c r="AT88"/>
  <c r="AH88"/>
  <c r="AA88"/>
  <c r="AQ88"/>
  <c r="AB92"/>
  <c r="AE92"/>
  <c r="AF92"/>
  <c r="AC92"/>
  <c r="AK100"/>
  <c r="AT100"/>
  <c r="AR121"/>
  <c r="AR137"/>
  <c r="AL110"/>
  <c r="Z110"/>
  <c r="AP110"/>
  <c r="Z126"/>
  <c r="AK132"/>
  <c r="AM132"/>
  <c r="AW132"/>
  <c r="AL132"/>
  <c r="AU132"/>
  <c r="Z132"/>
  <c r="AW160"/>
  <c r="R170"/>
  <c r="AW165"/>
  <c r="AK165"/>
  <c r="AT165"/>
  <c r="AW174"/>
  <c r="AW175"/>
  <c r="AK174"/>
  <c r="AT174"/>
  <c r="AT175"/>
  <c r="AK201"/>
  <c r="AM201"/>
  <c r="AW201"/>
  <c r="AL201"/>
  <c r="Z201"/>
  <c r="AK203"/>
  <c r="AM203"/>
  <c r="AW203"/>
  <c r="AL203"/>
  <c r="T215"/>
  <c r="T457"/>
  <c r="AK243"/>
  <c r="AT243"/>
  <c r="AX259"/>
  <c r="AL315"/>
  <c r="AK315"/>
  <c r="AM315"/>
  <c r="AM20"/>
  <c r="AO27"/>
  <c r="AO450"/>
  <c r="AS27"/>
  <c r="AS450"/>
  <c r="AK24"/>
  <c r="AH29"/>
  <c r="AJ32"/>
  <c r="AJ451"/>
  <c r="AH31"/>
  <c r="AA31"/>
  <c r="AO46"/>
  <c r="AO452"/>
  <c r="AN39"/>
  <c r="AK39"/>
  <c r="AP46"/>
  <c r="AP452"/>
  <c r="AL43"/>
  <c r="AU43"/>
  <c r="AM45"/>
  <c r="AL45"/>
  <c r="AN45"/>
  <c r="AM48"/>
  <c r="AO94"/>
  <c r="AO453"/>
  <c r="AL51"/>
  <c r="AN51"/>
  <c r="AW51"/>
  <c r="AK51"/>
  <c r="AH54"/>
  <c r="AA54"/>
  <c r="AL57"/>
  <c r="AU57"/>
  <c r="AW58"/>
  <c r="AT60"/>
  <c r="AW61"/>
  <c r="AH68"/>
  <c r="AA68"/>
  <c r="AB68"/>
  <c r="AE68"/>
  <c r="AF68"/>
  <c r="AC68"/>
  <c r="AD68"/>
  <c r="AK71"/>
  <c r="AT71"/>
  <c r="AK72"/>
  <c r="AT72"/>
  <c r="AH73"/>
  <c r="AA73"/>
  <c r="AQ73"/>
  <c r="W75"/>
  <c r="AR75"/>
  <c r="AK75"/>
  <c r="AW77"/>
  <c r="AN78"/>
  <c r="AH80"/>
  <c r="AA80"/>
  <c r="AQ80"/>
  <c r="AM84"/>
  <c r="AT84"/>
  <c r="AH84"/>
  <c r="AA84"/>
  <c r="AQ84"/>
  <c r="AK86"/>
  <c r="AB86"/>
  <c r="AE86"/>
  <c r="AF86"/>
  <c r="AC86"/>
  <c r="AB88"/>
  <c r="AE88"/>
  <c r="AF88"/>
  <c r="AC88"/>
  <c r="AB89"/>
  <c r="AE89"/>
  <c r="AF89"/>
  <c r="AC89"/>
  <c r="AB91"/>
  <c r="AE91"/>
  <c r="AF91"/>
  <c r="AC91"/>
  <c r="AM93"/>
  <c r="AT93"/>
  <c r="AN103"/>
  <c r="AW103"/>
  <c r="Z108"/>
  <c r="AP108"/>
  <c r="AK110"/>
  <c r="AT110"/>
  <c r="AK114"/>
  <c r="AW114"/>
  <c r="AL114"/>
  <c r="AU114"/>
  <c r="AL126"/>
  <c r="AU126"/>
  <c r="AK133"/>
  <c r="AT133"/>
  <c r="K141"/>
  <c r="K151"/>
  <c r="K171"/>
  <c r="AJ151"/>
  <c r="AL142"/>
  <c r="AK142"/>
  <c r="AT142"/>
  <c r="Z142"/>
  <c r="AP142"/>
  <c r="AW142"/>
  <c r="Z161"/>
  <c r="AW161"/>
  <c r="AN168"/>
  <c r="AW169"/>
  <c r="AL169"/>
  <c r="AU169"/>
  <c r="W169"/>
  <c r="Z174"/>
  <c r="Z175"/>
  <c r="AT195"/>
  <c r="AM195"/>
  <c r="Z203"/>
  <c r="AM205"/>
  <c r="AT205"/>
  <c r="AH211"/>
  <c r="AA211"/>
  <c r="AQ211"/>
  <c r="AK218"/>
  <c r="AW218"/>
  <c r="AX240"/>
  <c r="AK228"/>
  <c r="AT228"/>
  <c r="AW228"/>
  <c r="AL228"/>
  <c r="G240"/>
  <c r="AP239"/>
  <c r="S259"/>
  <c r="S459"/>
  <c r="AH258"/>
  <c r="AA256"/>
  <c r="AA258"/>
  <c r="AP258"/>
  <c r="AG258"/>
  <c r="K262"/>
  <c r="R262"/>
  <c r="AL262"/>
  <c r="AH295"/>
  <c r="AA295"/>
  <c r="AQ295"/>
  <c r="AP300"/>
  <c r="AI319"/>
  <c r="G341"/>
  <c r="AS333"/>
  <c r="AK332"/>
  <c r="AQ361"/>
  <c r="AL395"/>
  <c r="AW395"/>
  <c r="AK395"/>
  <c r="Z395"/>
  <c r="AO395"/>
  <c r="AK396"/>
  <c r="AW396"/>
  <c r="Z396"/>
  <c r="AK26"/>
  <c r="AM26"/>
  <c r="AH36"/>
  <c r="AH92"/>
  <c r="AA92"/>
  <c r="AQ92"/>
  <c r="AK130"/>
  <c r="AM130"/>
  <c r="Z130"/>
  <c r="AK194"/>
  <c r="AK196"/>
  <c r="Z194"/>
  <c r="AP194"/>
  <c r="AO243"/>
  <c r="AP243"/>
  <c r="AK253"/>
  <c r="AM253"/>
  <c r="AW253"/>
  <c r="AL253"/>
  <c r="Z253"/>
  <c r="AP253"/>
  <c r="AH305"/>
  <c r="AA305"/>
  <c r="AQ305"/>
  <c r="AG306"/>
  <c r="AK352"/>
  <c r="AT352"/>
  <c r="AL352"/>
  <c r="AN352"/>
  <c r="Z352"/>
  <c r="AW23"/>
  <c r="AN31"/>
  <c r="AJ46"/>
  <c r="AJ452"/>
  <c r="AW54"/>
  <c r="AT61"/>
  <c r="AL73"/>
  <c r="AK73"/>
  <c r="AT73"/>
  <c r="AT76"/>
  <c r="AM80"/>
  <c r="AK90"/>
  <c r="AB90"/>
  <c r="AE90"/>
  <c r="AF90"/>
  <c r="AC90"/>
  <c r="AL97"/>
  <c r="AN97"/>
  <c r="AW97"/>
  <c r="Z99"/>
  <c r="AM109"/>
  <c r="AW126"/>
  <c r="AL130"/>
  <c r="AU130"/>
  <c r="AH161"/>
  <c r="AH166"/>
  <c r="AA166"/>
  <c r="AQ166"/>
  <c r="W211"/>
  <c r="AS211"/>
  <c r="AW235"/>
  <c r="AL235"/>
  <c r="AU235"/>
  <c r="AI254"/>
  <c r="AT303"/>
  <c r="AK346"/>
  <c r="AM346"/>
  <c r="AB346"/>
  <c r="AF346"/>
  <c r="AC346"/>
  <c r="AD346"/>
  <c r="Z346"/>
  <c r="AL346"/>
  <c r="AU346"/>
  <c r="AN20"/>
  <c r="AP27"/>
  <c r="AP450"/>
  <c r="AK22"/>
  <c r="AM22"/>
  <c r="AI32"/>
  <c r="AI451"/>
  <c r="AU31"/>
  <c r="AH39"/>
  <c r="AA39"/>
  <c r="AQ39"/>
  <c r="AS46"/>
  <c r="AS452"/>
  <c r="AK42"/>
  <c r="AM42"/>
  <c r="AH43"/>
  <c r="AA43"/>
  <c r="AQ43"/>
  <c r="AK44"/>
  <c r="AG94"/>
  <c r="AG453"/>
  <c r="AI94"/>
  <c r="AI453"/>
  <c r="AH57"/>
  <c r="AA57"/>
  <c r="AQ57"/>
  <c r="AN60"/>
  <c r="AM62"/>
  <c r="AK65"/>
  <c r="AH71"/>
  <c r="AA71"/>
  <c r="AQ71"/>
  <c r="AN71"/>
  <c r="AU72"/>
  <c r="AW73"/>
  <c r="AH75"/>
  <c r="AA75"/>
  <c r="AQ75"/>
  <c r="AM79"/>
  <c r="AT79"/>
  <c r="AL79"/>
  <c r="AN79"/>
  <c r="AB84"/>
  <c r="AE84"/>
  <c r="AF84"/>
  <c r="AC84"/>
  <c r="AB85"/>
  <c r="AE85"/>
  <c r="AF85"/>
  <c r="AC85"/>
  <c r="AB87"/>
  <c r="AE87"/>
  <c r="AF87"/>
  <c r="AC87"/>
  <c r="AT89"/>
  <c r="AW92"/>
  <c r="AK97"/>
  <c r="AM97"/>
  <c r="AL99"/>
  <c r="AU99"/>
  <c r="AW99"/>
  <c r="Z103"/>
  <c r="AO103"/>
  <c r="AK105"/>
  <c r="Z105"/>
  <c r="AO105"/>
  <c r="Z114"/>
  <c r="AO114"/>
  <c r="AN114"/>
  <c r="AI136"/>
  <c r="AK124"/>
  <c r="AM124"/>
  <c r="Z124"/>
  <c r="AK144"/>
  <c r="AT144"/>
  <c r="Z144"/>
  <c r="AH144"/>
  <c r="AA144"/>
  <c r="AQ144"/>
  <c r="AW144"/>
  <c r="AH149"/>
  <c r="T171"/>
  <c r="T455"/>
  <c r="AR163"/>
  <c r="AL179"/>
  <c r="AN179"/>
  <c r="AM180"/>
  <c r="AO190"/>
  <c r="AK187"/>
  <c r="AM187"/>
  <c r="AS207"/>
  <c r="AH200"/>
  <c r="AA200"/>
  <c r="Z218"/>
  <c r="AP218"/>
  <c r="AH226"/>
  <c r="AA226"/>
  <c r="AQ226"/>
  <c r="Z228"/>
  <c r="I240"/>
  <c r="AH235"/>
  <c r="AA235"/>
  <c r="AQ235"/>
  <c r="AK237"/>
  <c r="AT237"/>
  <c r="AW237"/>
  <c r="AL237"/>
  <c r="AH249"/>
  <c r="AA249"/>
  <c r="AQ249"/>
  <c r="AI258"/>
  <c r="AK257"/>
  <c r="AW257"/>
  <c r="AL257"/>
  <c r="AU257"/>
  <c r="W257"/>
  <c r="AS257"/>
  <c r="R258"/>
  <c r="AO284"/>
  <c r="AH284"/>
  <c r="AA284"/>
  <c r="AQ284"/>
  <c r="AP284"/>
  <c r="AG300"/>
  <c r="AK305"/>
  <c r="AT305"/>
  <c r="AW305"/>
  <c r="AO355"/>
  <c r="AP355"/>
  <c r="T484"/>
  <c r="AX484"/>
  <c r="AL146"/>
  <c r="AU146"/>
  <c r="AV171"/>
  <c r="G171"/>
  <c r="AP170"/>
  <c r="AI170"/>
  <c r="AX485"/>
  <c r="AH187"/>
  <c r="AA187"/>
  <c r="AQ187"/>
  <c r="AN192"/>
  <c r="AH195"/>
  <c r="AI207"/>
  <c r="AO214"/>
  <c r="AM216"/>
  <c r="AG221"/>
  <c r="AI231"/>
  <c r="AM242"/>
  <c r="AH243"/>
  <c r="AH251"/>
  <c r="AA251"/>
  <c r="AQ251"/>
  <c r="AE275"/>
  <c r="AL270"/>
  <c r="Z270"/>
  <c r="AK278"/>
  <c r="AM278"/>
  <c r="Z278"/>
  <c r="AW278"/>
  <c r="AK281"/>
  <c r="Z281"/>
  <c r="AP281"/>
  <c r="AW281"/>
  <c r="AL283"/>
  <c r="Z283"/>
  <c r="AH283"/>
  <c r="AA283"/>
  <c r="AB283"/>
  <c r="AW283"/>
  <c r="R292"/>
  <c r="Z287"/>
  <c r="AW287"/>
  <c r="AI292"/>
  <c r="AU297"/>
  <c r="AN297"/>
  <c r="AJ319"/>
  <c r="AJ341"/>
  <c r="AJ461"/>
  <c r="P340"/>
  <c r="R335"/>
  <c r="AS383"/>
  <c r="P398"/>
  <c r="R394"/>
  <c r="AW394"/>
  <c r="AH56"/>
  <c r="AA56"/>
  <c r="AQ56"/>
  <c r="AH58"/>
  <c r="AA58"/>
  <c r="AQ58"/>
  <c r="AH63"/>
  <c r="AA63"/>
  <c r="AQ63"/>
  <c r="AM66"/>
  <c r="AW70"/>
  <c r="AH72"/>
  <c r="AA72"/>
  <c r="AQ72"/>
  <c r="AH81"/>
  <c r="AA81"/>
  <c r="AB81"/>
  <c r="AM87"/>
  <c r="AW87"/>
  <c r="AM91"/>
  <c r="AW91"/>
  <c r="AJ121"/>
  <c r="AJ137"/>
  <c r="AJ472"/>
  <c r="AN109"/>
  <c r="T483"/>
  <c r="T137"/>
  <c r="T472"/>
  <c r="AB146"/>
  <c r="AO146"/>
  <c r="AW146"/>
  <c r="Z155"/>
  <c r="AH155"/>
  <c r="AA155"/>
  <c r="AQ155"/>
  <c r="AS163"/>
  <c r="AM167"/>
  <c r="S485"/>
  <c r="AM172"/>
  <c r="AN173"/>
  <c r="G191"/>
  <c r="S191"/>
  <c r="S456"/>
  <c r="AN193"/>
  <c r="AI214"/>
  <c r="AI215"/>
  <c r="AI457"/>
  <c r="W213"/>
  <c r="AS213"/>
  <c r="AT213"/>
  <c r="AM217"/>
  <c r="AR221"/>
  <c r="R221"/>
  <c r="Z225"/>
  <c r="AH225"/>
  <c r="AA225"/>
  <c r="AB225"/>
  <c r="Z226"/>
  <c r="AP226"/>
  <c r="Z230"/>
  <c r="AO230"/>
  <c r="AW230"/>
  <c r="T240"/>
  <c r="T458"/>
  <c r="AN233"/>
  <c r="AK233"/>
  <c r="AM233"/>
  <c r="AH234"/>
  <c r="AA234"/>
  <c r="AL244"/>
  <c r="AU244"/>
  <c r="AU246"/>
  <c r="AW244"/>
  <c r="G259"/>
  <c r="R248"/>
  <c r="AL248"/>
  <c r="AM249"/>
  <c r="AE254"/>
  <c r="AK250"/>
  <c r="AK270"/>
  <c r="AT270"/>
  <c r="T307"/>
  <c r="T460"/>
  <c r="AL278"/>
  <c r="AU278"/>
  <c r="AL281"/>
  <c r="AU281"/>
  <c r="AL287"/>
  <c r="AO300"/>
  <c r="AJ306"/>
  <c r="AB304"/>
  <c r="AR304"/>
  <c r="AJ333"/>
  <c r="AH346"/>
  <c r="AA346"/>
  <c r="AQ346"/>
  <c r="AJ356"/>
  <c r="AM362"/>
  <c r="AT362"/>
  <c r="AG383"/>
  <c r="AG387"/>
  <c r="AU379"/>
  <c r="AN379"/>
  <c r="AA392"/>
  <c r="AB391"/>
  <c r="AH396"/>
  <c r="AJ275"/>
  <c r="AI275"/>
  <c r="AS275"/>
  <c r="AB284"/>
  <c r="AF284"/>
  <c r="AC284"/>
  <c r="AD284"/>
  <c r="AX307"/>
  <c r="AG292"/>
  <c r="R300"/>
  <c r="AK294"/>
  <c r="AT294"/>
  <c r="AH298"/>
  <c r="AA298"/>
  <c r="AQ298"/>
  <c r="R306"/>
  <c r="AP306"/>
  <c r="AK304"/>
  <c r="AS348"/>
  <c r="G364"/>
  <c r="G369"/>
  <c r="AX364"/>
  <c r="AX369"/>
  <c r="AK355"/>
  <c r="AM355"/>
  <c r="AW355"/>
  <c r="AG363"/>
  <c r="AM379"/>
  <c r="AW385"/>
  <c r="AW386"/>
  <c r="AN344"/>
  <c r="AH355"/>
  <c r="AA355"/>
  <c r="AQ355"/>
  <c r="AI363"/>
  <c r="AR375"/>
  <c r="G387"/>
  <c r="AL385"/>
  <c r="AV387"/>
  <c r="AV464"/>
  <c r="AH404"/>
  <c r="AI285"/>
  <c r="AM279"/>
  <c r="AL284"/>
  <c r="AU284"/>
  <c r="AW284"/>
  <c r="AJ292"/>
  <c r="AS292"/>
  <c r="AL289"/>
  <c r="AU289"/>
  <c r="AW289"/>
  <c r="AI300"/>
  <c r="AM297"/>
  <c r="AO306"/>
  <c r="AS319"/>
  <c r="S341"/>
  <c r="S461"/>
  <c r="AL345"/>
  <c r="AN345"/>
  <c r="AW345"/>
  <c r="AR356"/>
  <c r="AS356"/>
  <c r="AL353"/>
  <c r="AW353"/>
  <c r="AH359"/>
  <c r="AA359"/>
  <c r="AQ359"/>
  <c r="W361"/>
  <c r="AS361"/>
  <c r="R373"/>
  <c r="AK373"/>
  <c r="AT373"/>
  <c r="AI375"/>
  <c r="AI387"/>
  <c r="I375"/>
  <c r="I387"/>
  <c r="AR383"/>
  <c r="W385"/>
  <c r="AR385"/>
  <c r="AR386"/>
  <c r="AR387"/>
  <c r="AH385"/>
  <c r="R386"/>
  <c r="AG398"/>
  <c r="Z404"/>
  <c r="AB404"/>
  <c r="AW407"/>
  <c r="AV484"/>
  <c r="AI430"/>
  <c r="AI466"/>
  <c r="AV430"/>
  <c r="AV466"/>
  <c r="G12"/>
  <c r="Z11"/>
  <c r="AB11"/>
  <c r="AD11"/>
  <c r="AF11"/>
  <c r="AQ65"/>
  <c r="AB65"/>
  <c r="AB98"/>
  <c r="AB10"/>
  <c r="Z10"/>
  <c r="AN22"/>
  <c r="AU22"/>
  <c r="AX35"/>
  <c r="AE35"/>
  <c r="AF35"/>
  <c r="AC35"/>
  <c r="AD35"/>
  <c r="AB39"/>
  <c r="AU42"/>
  <c r="AN42"/>
  <c r="AQ51"/>
  <c r="AB51"/>
  <c r="AH53"/>
  <c r="AA53"/>
  <c r="AQ53"/>
  <c r="AB54"/>
  <c r="AQ54"/>
  <c r="AW56"/>
  <c r="AB56"/>
  <c r="AL56"/>
  <c r="AK56"/>
  <c r="AT102"/>
  <c r="AM102"/>
  <c r="AV473"/>
  <c r="AV455"/>
  <c r="AR449"/>
  <c r="AN24"/>
  <c r="AU24"/>
  <c r="AA29"/>
  <c r="AB31"/>
  <c r="AQ31"/>
  <c r="AA38"/>
  <c r="AW53"/>
  <c r="AL53"/>
  <c r="AK53"/>
  <c r="AB53"/>
  <c r="AE67"/>
  <c r="AF67"/>
  <c r="AC67"/>
  <c r="AD67"/>
  <c r="AS449"/>
  <c r="AL17"/>
  <c r="AK17"/>
  <c r="AW17"/>
  <c r="AW481"/>
  <c r="Z17"/>
  <c r="AU18"/>
  <c r="AN18"/>
  <c r="AT25"/>
  <c r="AM25"/>
  <c r="AN26"/>
  <c r="AU26"/>
  <c r="AQ42"/>
  <c r="AB42"/>
  <c r="AB44"/>
  <c r="AQ44"/>
  <c r="AJ454"/>
  <c r="AG449"/>
  <c r="B110"/>
  <c r="B111"/>
  <c r="B113"/>
  <c r="B115"/>
  <c r="B116"/>
  <c r="B117"/>
  <c r="B118"/>
  <c r="B119"/>
  <c r="B120"/>
  <c r="B123"/>
  <c r="B124"/>
  <c r="B125"/>
  <c r="B126"/>
  <c r="B127"/>
  <c r="B128"/>
  <c r="B129"/>
  <c r="B130"/>
  <c r="B131"/>
  <c r="B132"/>
  <c r="B133"/>
  <c r="B134"/>
  <c r="B135"/>
  <c r="B141"/>
  <c r="B142"/>
  <c r="B144"/>
  <c r="B145"/>
  <c r="B146"/>
  <c r="B153"/>
  <c r="B154"/>
  <c r="B155"/>
  <c r="B156"/>
  <c r="B159"/>
  <c r="B160"/>
  <c r="B162"/>
  <c r="B165"/>
  <c r="B166"/>
  <c r="B167"/>
  <c r="B168"/>
  <c r="B169"/>
  <c r="B174"/>
  <c r="B177"/>
  <c r="B178"/>
  <c r="B179"/>
  <c r="B180"/>
  <c r="B181"/>
  <c r="B182"/>
  <c r="B185"/>
  <c r="B186"/>
  <c r="B187"/>
  <c r="B188"/>
  <c r="B189"/>
  <c r="B194"/>
  <c r="B195"/>
  <c r="B198"/>
  <c r="B199"/>
  <c r="AW15"/>
  <c r="AB15"/>
  <c r="AD15"/>
  <c r="AE15"/>
  <c r="AF15"/>
  <c r="AK15"/>
  <c r="AL15"/>
  <c r="AU23"/>
  <c r="AN23"/>
  <c r="AB26"/>
  <c r="AQ26"/>
  <c r="AW32"/>
  <c r="AW451"/>
  <c r="AQ62"/>
  <c r="AB62"/>
  <c r="AR472"/>
  <c r="AR454"/>
  <c r="AK30"/>
  <c r="AU41"/>
  <c r="AU45"/>
  <c r="R46"/>
  <c r="AW66"/>
  <c r="AN69"/>
  <c r="AU78"/>
  <c r="AW81"/>
  <c r="AW106"/>
  <c r="AB106"/>
  <c r="AL106"/>
  <c r="AL107"/>
  <c r="Z107"/>
  <c r="AW107"/>
  <c r="AO110"/>
  <c r="Z115"/>
  <c r="AP115"/>
  <c r="Z117"/>
  <c r="AL117"/>
  <c r="Z118"/>
  <c r="AK118"/>
  <c r="AW118"/>
  <c r="S483"/>
  <c r="A483"/>
  <c r="S137"/>
  <c r="AW135"/>
  <c r="AB135"/>
  <c r="AL135"/>
  <c r="AL143"/>
  <c r="Z143"/>
  <c r="AH143"/>
  <c r="AK143"/>
  <c r="Z145"/>
  <c r="AH145"/>
  <c r="AA145"/>
  <c r="AQ145"/>
  <c r="AL145"/>
  <c r="AW145"/>
  <c r="AK145"/>
  <c r="P151"/>
  <c r="P171"/>
  <c r="R148"/>
  <c r="AU155"/>
  <c r="AN155"/>
  <c r="AT173"/>
  <c r="AM173"/>
  <c r="P183"/>
  <c r="R177"/>
  <c r="P190"/>
  <c r="R186"/>
  <c r="AT187"/>
  <c r="AW188"/>
  <c r="AL188"/>
  <c r="W188"/>
  <c r="AB188"/>
  <c r="AS209"/>
  <c r="AR209"/>
  <c r="AT212"/>
  <c r="AM212"/>
  <c r="AO223"/>
  <c r="AP223"/>
  <c r="AG239"/>
  <c r="AH233"/>
  <c r="AS237"/>
  <c r="AB237"/>
  <c r="AR237"/>
  <c r="AN249"/>
  <c r="AU249"/>
  <c r="AL252"/>
  <c r="Z252"/>
  <c r="AW252"/>
  <c r="AK252"/>
  <c r="AT323"/>
  <c r="AM323"/>
  <c r="AK18"/>
  <c r="AH22"/>
  <c r="AT22"/>
  <c r="AK23"/>
  <c r="AB24"/>
  <c r="AW24"/>
  <c r="Z30"/>
  <c r="AH30"/>
  <c r="AA30"/>
  <c r="AQ30"/>
  <c r="AL30"/>
  <c r="AG32"/>
  <c r="AG451"/>
  <c r="AB34"/>
  <c r="AB38"/>
  <c r="AK38"/>
  <c r="AW38"/>
  <c r="AU39"/>
  <c r="AN43"/>
  <c r="AN44"/>
  <c r="AH45"/>
  <c r="AA45"/>
  <c r="AB45"/>
  <c r="AW45"/>
  <c r="S486"/>
  <c r="A486"/>
  <c r="S452"/>
  <c r="AW48"/>
  <c r="AB50"/>
  <c r="AK50"/>
  <c r="AW50"/>
  <c r="AN54"/>
  <c r="AB55"/>
  <c r="AL55"/>
  <c r="AW60"/>
  <c r="AB60"/>
  <c r="AN61"/>
  <c r="AT62"/>
  <c r="AK63"/>
  <c r="AW63"/>
  <c r="AU65"/>
  <c r="S503"/>
  <c r="S453"/>
  <c r="AW75"/>
  <c r="AN76"/>
  <c r="AL77"/>
  <c r="W77"/>
  <c r="AD78"/>
  <c r="AH79"/>
  <c r="AA79"/>
  <c r="AU79"/>
  <c r="AL80"/>
  <c r="AH83"/>
  <c r="AA83"/>
  <c r="AM83"/>
  <c r="AL84"/>
  <c r="AL85"/>
  <c r="AL86"/>
  <c r="AL87"/>
  <c r="AL88"/>
  <c r="AL89"/>
  <c r="AL90"/>
  <c r="AL91"/>
  <c r="AL92"/>
  <c r="AE121"/>
  <c r="AF97"/>
  <c r="AT97"/>
  <c r="R121"/>
  <c r="AL100"/>
  <c r="AW100"/>
  <c r="AB100"/>
  <c r="AH100"/>
  <c r="AK101"/>
  <c r="Z101"/>
  <c r="AW101"/>
  <c r="AP103"/>
  <c r="AL105"/>
  <c r="Z106"/>
  <c r="AH106"/>
  <c r="AL108"/>
  <c r="AW108"/>
  <c r="AB108"/>
  <c r="AH108"/>
  <c r="AM108"/>
  <c r="AO109"/>
  <c r="AU109"/>
  <c r="AN111"/>
  <c r="AK112"/>
  <c r="Z112"/>
  <c r="AW112"/>
  <c r="AN116"/>
  <c r="AB118"/>
  <c r="AL118"/>
  <c r="Z119"/>
  <c r="AK119"/>
  <c r="AW119"/>
  <c r="AV483"/>
  <c r="AV137"/>
  <c r="AH124"/>
  <c r="AA124"/>
  <c r="AN124"/>
  <c r="AT124"/>
  <c r="AW124"/>
  <c r="AH126"/>
  <c r="AA126"/>
  <c r="AN126"/>
  <c r="AT126"/>
  <c r="AH128"/>
  <c r="AA128"/>
  <c r="AN128"/>
  <c r="AT128"/>
  <c r="AN130"/>
  <c r="AT130"/>
  <c r="AT132"/>
  <c r="Z134"/>
  <c r="Z135"/>
  <c r="AH135"/>
  <c r="AE151"/>
  <c r="AR151"/>
  <c r="AM142"/>
  <c r="AB143"/>
  <c r="AW143"/>
  <c r="AL150"/>
  <c r="AG163"/>
  <c r="Z157"/>
  <c r="AW157"/>
  <c r="AL157"/>
  <c r="AK157"/>
  <c r="AB157"/>
  <c r="AS169"/>
  <c r="AR169"/>
  <c r="AP174"/>
  <c r="AP175"/>
  <c r="AO174"/>
  <c r="AO175"/>
  <c r="AU179"/>
  <c r="AH180"/>
  <c r="AT180"/>
  <c r="AH185"/>
  <c r="AE207"/>
  <c r="AT199"/>
  <c r="AM199"/>
  <c r="AU203"/>
  <c r="AN203"/>
  <c r="AT206"/>
  <c r="AM206"/>
  <c r="AU209"/>
  <c r="AN209"/>
  <c r="AW224"/>
  <c r="Z224"/>
  <c r="AL224"/>
  <c r="AK224"/>
  <c r="AU228"/>
  <c r="AN228"/>
  <c r="AL25"/>
  <c r="S471"/>
  <c r="S449"/>
  <c r="AV471"/>
  <c r="AV449"/>
  <c r="AL38"/>
  <c r="AL40"/>
  <c r="AT40"/>
  <c r="AL50"/>
  <c r="AR60"/>
  <c r="AL63"/>
  <c r="AL66"/>
  <c r="AT66"/>
  <c r="AK69"/>
  <c r="AR78"/>
  <c r="AW79"/>
  <c r="R94"/>
  <c r="AG121"/>
  <c r="AH97"/>
  <c r="AS121"/>
  <c r="AO100"/>
  <c r="AW102"/>
  <c r="AL102"/>
  <c r="Z102"/>
  <c r="AH102"/>
  <c r="AA102"/>
  <c r="AQ102"/>
  <c r="Z104"/>
  <c r="AB104"/>
  <c r="AK104"/>
  <c r="AW104"/>
  <c r="AH105"/>
  <c r="AA105"/>
  <c r="AQ105"/>
  <c r="AO108"/>
  <c r="AK113"/>
  <c r="Z113"/>
  <c r="AW113"/>
  <c r="AH114"/>
  <c r="AA114"/>
  <c r="AQ114"/>
  <c r="AW115"/>
  <c r="AH118"/>
  <c r="AL120"/>
  <c r="AW120"/>
  <c r="AX483"/>
  <c r="AX137"/>
  <c r="AE136"/>
  <c r="AT123"/>
  <c r="AG151"/>
  <c r="AS151"/>
  <c r="AB142"/>
  <c r="AF142"/>
  <c r="AC142"/>
  <c r="Z150"/>
  <c r="AB150"/>
  <c r="AK150"/>
  <c r="AJ163"/>
  <c r="AW154"/>
  <c r="AL154"/>
  <c r="AK154"/>
  <c r="Z154"/>
  <c r="AW158"/>
  <c r="AL158"/>
  <c r="AK158"/>
  <c r="Z158"/>
  <c r="AH158"/>
  <c r="AU159"/>
  <c r="AN159"/>
  <c r="AM165"/>
  <c r="AR168"/>
  <c r="AS168"/>
  <c r="AW180"/>
  <c r="AL180"/>
  <c r="AK188"/>
  <c r="AE196"/>
  <c r="AN195"/>
  <c r="AU195"/>
  <c r="AU201"/>
  <c r="AN201"/>
  <c r="AW229"/>
  <c r="Z229"/>
  <c r="AL229"/>
  <c r="AK229"/>
  <c r="AG231"/>
  <c r="AG240"/>
  <c r="AG458"/>
  <c r="AW238"/>
  <c r="AL238"/>
  <c r="AK238"/>
  <c r="W238"/>
  <c r="R239"/>
  <c r="AU248"/>
  <c r="AL254"/>
  <c r="AN248"/>
  <c r="Z262"/>
  <c r="AH262"/>
  <c r="R275"/>
  <c r="AW262"/>
  <c r="AT291"/>
  <c r="AM291"/>
  <c r="AH25"/>
  <c r="AA25"/>
  <c r="AQ25"/>
  <c r="AM29"/>
  <c r="AW40"/>
  <c r="AH18"/>
  <c r="AH23"/>
  <c r="AA23"/>
  <c r="AW25"/>
  <c r="AW41"/>
  <c r="AB41"/>
  <c r="T486"/>
  <c r="T452"/>
  <c r="AV486"/>
  <c r="AV452"/>
  <c r="AA48"/>
  <c r="AJ94"/>
  <c r="AJ453"/>
  <c r="T471"/>
  <c r="T449"/>
  <c r="R32"/>
  <c r="AL29"/>
  <c r="AI46"/>
  <c r="AI452"/>
  <c r="AH40"/>
  <c r="AA40"/>
  <c r="AQ40"/>
  <c r="AK41"/>
  <c r="AT42"/>
  <c r="AB43"/>
  <c r="AK43"/>
  <c r="AG46"/>
  <c r="AG452"/>
  <c r="AP94"/>
  <c r="AP453"/>
  <c r="AK54"/>
  <c r="AW55"/>
  <c r="AK57"/>
  <c r="AB58"/>
  <c r="AM58"/>
  <c r="AU60"/>
  <c r="AB61"/>
  <c r="AH66"/>
  <c r="AA66"/>
  <c r="AQ66"/>
  <c r="AH69"/>
  <c r="AA69"/>
  <c r="AQ69"/>
  <c r="AW69"/>
  <c r="AB70"/>
  <c r="AM70"/>
  <c r="AB71"/>
  <c r="AM71"/>
  <c r="AB72"/>
  <c r="AM72"/>
  <c r="AB73"/>
  <c r="AU75"/>
  <c r="AB76"/>
  <c r="AM77"/>
  <c r="AW80"/>
  <c r="AD86"/>
  <c r="AD87"/>
  <c r="AD88"/>
  <c r="AD89"/>
  <c r="AD90"/>
  <c r="T503"/>
  <c r="T453"/>
  <c r="AB97"/>
  <c r="AP97"/>
  <c r="AI121"/>
  <c r="AO97"/>
  <c r="AU97"/>
  <c r="AN99"/>
  <c r="AT99"/>
  <c r="AN101"/>
  <c r="AL104"/>
  <c r="AP105"/>
  <c r="AW105"/>
  <c r="AK106"/>
  <c r="AK107"/>
  <c r="AF109"/>
  <c r="AC109"/>
  <c r="AM110"/>
  <c r="AK111"/>
  <c r="Z111"/>
  <c r="AW111"/>
  <c r="AN112"/>
  <c r="AL113"/>
  <c r="AP114"/>
  <c r="AL115"/>
  <c r="AN115"/>
  <c r="Z116"/>
  <c r="AH116"/>
  <c r="AK116"/>
  <c r="AW116"/>
  <c r="AW117"/>
  <c r="AN119"/>
  <c r="Z120"/>
  <c r="AB120"/>
  <c r="G137"/>
  <c r="R136"/>
  <c r="AL123"/>
  <c r="Z123"/>
  <c r="AH123"/>
  <c r="AG136"/>
  <c r="AM123"/>
  <c r="AS136"/>
  <c r="AL125"/>
  <c r="Z125"/>
  <c r="AH125"/>
  <c r="AA125"/>
  <c r="AQ125"/>
  <c r="AW125"/>
  <c r="AM125"/>
  <c r="AW127"/>
  <c r="AL127"/>
  <c r="Z127"/>
  <c r="AH127"/>
  <c r="AA127"/>
  <c r="AQ127"/>
  <c r="AM127"/>
  <c r="AL129"/>
  <c r="Z129"/>
  <c r="AW129"/>
  <c r="AH129"/>
  <c r="AA129"/>
  <c r="AQ129"/>
  <c r="AM129"/>
  <c r="AW131"/>
  <c r="AL131"/>
  <c r="Z131"/>
  <c r="AH131"/>
  <c r="AA131"/>
  <c r="AQ131"/>
  <c r="AM131"/>
  <c r="AL133"/>
  <c r="Z133"/>
  <c r="AM133"/>
  <c r="AK135"/>
  <c r="AI151"/>
  <c r="Z147"/>
  <c r="AW147"/>
  <c r="AL147"/>
  <c r="AK147"/>
  <c r="AB147"/>
  <c r="AE163"/>
  <c r="AM155"/>
  <c r="AT155"/>
  <c r="AH156"/>
  <c r="AA156"/>
  <c r="AQ156"/>
  <c r="AW159"/>
  <c r="AK159"/>
  <c r="Z159"/>
  <c r="AL162"/>
  <c r="Z162"/>
  <c r="AW162"/>
  <c r="AK162"/>
  <c r="AG170"/>
  <c r="AH165"/>
  <c r="AO170"/>
  <c r="AM174"/>
  <c r="AM175"/>
  <c r="AG183"/>
  <c r="AG191"/>
  <c r="AG456"/>
  <c r="AI183"/>
  <c r="AI191"/>
  <c r="AI456"/>
  <c r="Z180"/>
  <c r="AB180"/>
  <c r="Z181"/>
  <c r="AW181"/>
  <c r="AL181"/>
  <c r="AK181"/>
  <c r="AB181"/>
  <c r="AW185"/>
  <c r="AL185"/>
  <c r="AK185"/>
  <c r="R190"/>
  <c r="W185"/>
  <c r="AU187"/>
  <c r="AT189"/>
  <c r="AM189"/>
  <c r="I207"/>
  <c r="I215"/>
  <c r="R198"/>
  <c r="AH224"/>
  <c r="AA224"/>
  <c r="AQ224"/>
  <c r="AM243"/>
  <c r="AN283"/>
  <c r="AU283"/>
  <c r="AS297"/>
  <c r="AR297"/>
  <c r="AB109"/>
  <c r="AW109"/>
  <c r="AW110"/>
  <c r="AN144"/>
  <c r="AK146"/>
  <c r="S171"/>
  <c r="AL160"/>
  <c r="Z160"/>
  <c r="AH160"/>
  <c r="AA160"/>
  <c r="AQ160"/>
  <c r="AK161"/>
  <c r="AL165"/>
  <c r="AB167"/>
  <c r="AU168"/>
  <c r="AB169"/>
  <c r="AK169"/>
  <c r="T485"/>
  <c r="A485"/>
  <c r="AT172"/>
  <c r="AH174"/>
  <c r="AH175"/>
  <c r="P175"/>
  <c r="AR183"/>
  <c r="AN178"/>
  <c r="AM179"/>
  <c r="AW179"/>
  <c r="AO182"/>
  <c r="AJ190"/>
  <c r="AH188"/>
  <c r="AA188"/>
  <c r="AQ188"/>
  <c r="AW194"/>
  <c r="AW196"/>
  <c r="AB194"/>
  <c r="AF194"/>
  <c r="R196"/>
  <c r="AL194"/>
  <c r="AG196"/>
  <c r="AG215"/>
  <c r="AG457"/>
  <c r="AH194"/>
  <c r="AH196"/>
  <c r="AS196"/>
  <c r="AB195"/>
  <c r="AP195"/>
  <c r="AP196"/>
  <c r="AO195"/>
  <c r="AJ207"/>
  <c r="AR207"/>
  <c r="AW199"/>
  <c r="AL199"/>
  <c r="Z199"/>
  <c r="AH199"/>
  <c r="AA199"/>
  <c r="AQ199"/>
  <c r="AF200"/>
  <c r="AC200"/>
  <c r="AD200"/>
  <c r="AH201"/>
  <c r="AA201"/>
  <c r="AH203"/>
  <c r="AA203"/>
  <c r="AL205"/>
  <c r="Z205"/>
  <c r="AH205"/>
  <c r="AA205"/>
  <c r="AW205"/>
  <c r="AA209"/>
  <c r="AB209"/>
  <c r="AT209"/>
  <c r="AJ240"/>
  <c r="AJ458"/>
  <c r="AL220"/>
  <c r="AO226"/>
  <c r="AB226"/>
  <c r="AL227"/>
  <c r="Z227"/>
  <c r="AW227"/>
  <c r="AK227"/>
  <c r="AM230"/>
  <c r="AT230"/>
  <c r="AI239"/>
  <c r="AI240"/>
  <c r="AI458"/>
  <c r="T259"/>
  <c r="T459"/>
  <c r="AW248"/>
  <c r="AK248"/>
  <c r="R254"/>
  <c r="Z248"/>
  <c r="AH248"/>
  <c r="AO273"/>
  <c r="AN289"/>
  <c r="AN296"/>
  <c r="AU296"/>
  <c r="AK311"/>
  <c r="AL311"/>
  <c r="Z311"/>
  <c r="AW311"/>
  <c r="AH314"/>
  <c r="AT317"/>
  <c r="AM317"/>
  <c r="AO340"/>
  <c r="AU343"/>
  <c r="AN343"/>
  <c r="AL156"/>
  <c r="Z156"/>
  <c r="AH162"/>
  <c r="AA162"/>
  <c r="AQ162"/>
  <c r="AL166"/>
  <c r="W166"/>
  <c r="AE183"/>
  <c r="AP190"/>
  <c r="AW187"/>
  <c r="AB187"/>
  <c r="AL189"/>
  <c r="W189"/>
  <c r="AW189"/>
  <c r="AH189"/>
  <c r="AA189"/>
  <c r="AQ189"/>
  <c r="AG190"/>
  <c r="AO194"/>
  <c r="Z196"/>
  <c r="AL206"/>
  <c r="Z206"/>
  <c r="AW206"/>
  <c r="AW212"/>
  <c r="AL212"/>
  <c r="W212"/>
  <c r="AB212"/>
  <c r="AH212"/>
  <c r="AA212"/>
  <c r="AQ212"/>
  <c r="AR213"/>
  <c r="R214"/>
  <c r="AK214"/>
  <c r="AN217"/>
  <c r="AO218"/>
  <c r="AE231"/>
  <c r="AO228"/>
  <c r="AP228"/>
  <c r="AH228"/>
  <c r="AA228"/>
  <c r="AQ228"/>
  <c r="AN230"/>
  <c r="AU233"/>
  <c r="AH238"/>
  <c r="AA238"/>
  <c r="AQ238"/>
  <c r="AM244"/>
  <c r="AM246"/>
  <c r="AT244"/>
  <c r="AT246"/>
  <c r="AG259"/>
  <c r="AG459"/>
  <c r="AN250"/>
  <c r="AU250"/>
  <c r="AP251"/>
  <c r="AO251"/>
  <c r="AU266"/>
  <c r="AN266"/>
  <c r="AT268"/>
  <c r="AM268"/>
  <c r="AJ285"/>
  <c r="AL280"/>
  <c r="Z280"/>
  <c r="AH280"/>
  <c r="AA280"/>
  <c r="AQ280"/>
  <c r="AW280"/>
  <c r="AK280"/>
  <c r="AW282"/>
  <c r="AL282"/>
  <c r="Z282"/>
  <c r="AK282"/>
  <c r="AM284"/>
  <c r="AT284"/>
  <c r="AU287"/>
  <c r="AN287"/>
  <c r="AU313"/>
  <c r="AN313"/>
  <c r="AK322"/>
  <c r="Z322"/>
  <c r="AB322"/>
  <c r="AL322"/>
  <c r="AW322"/>
  <c r="AT325"/>
  <c r="AM325"/>
  <c r="AN362"/>
  <c r="AU362"/>
  <c r="AB149"/>
  <c r="AW149"/>
  <c r="I163"/>
  <c r="I171"/>
  <c r="R153"/>
  <c r="AH154"/>
  <c r="AA154"/>
  <c r="AQ154"/>
  <c r="AK156"/>
  <c r="AW156"/>
  <c r="AM160"/>
  <c r="AN161"/>
  <c r="W165"/>
  <c r="AJ170"/>
  <c r="AK166"/>
  <c r="AK170"/>
  <c r="AR167"/>
  <c r="AW168"/>
  <c r="AB168"/>
  <c r="AN169"/>
  <c r="AN172"/>
  <c r="R175"/>
  <c r="AL174"/>
  <c r="AJ183"/>
  <c r="Z178"/>
  <c r="AK178"/>
  <c r="AW178"/>
  <c r="Z179"/>
  <c r="AH179"/>
  <c r="AB182"/>
  <c r="AH182"/>
  <c r="AM182"/>
  <c r="AH186"/>
  <c r="AA186"/>
  <c r="AQ186"/>
  <c r="W187"/>
  <c r="AQ196"/>
  <c r="AF195"/>
  <c r="AC195"/>
  <c r="G215"/>
  <c r="AL202"/>
  <c r="Z202"/>
  <c r="AW202"/>
  <c r="AM202"/>
  <c r="AW204"/>
  <c r="AL204"/>
  <c r="Z204"/>
  <c r="AM204"/>
  <c r="AG207"/>
  <c r="AJ214"/>
  <c r="AP214"/>
  <c r="AL210"/>
  <c r="W210"/>
  <c r="AW210"/>
  <c r="AH210"/>
  <c r="AA210"/>
  <c r="AQ210"/>
  <c r="AM210"/>
  <c r="AR211"/>
  <c r="AB213"/>
  <c r="AN213"/>
  <c r="AH218"/>
  <c r="AK220"/>
  <c r="AW220"/>
  <c r="Z220"/>
  <c r="Z221"/>
  <c r="AN223"/>
  <c r="AM226"/>
  <c r="AT226"/>
  <c r="AB228"/>
  <c r="AS235"/>
  <c r="AR235"/>
  <c r="AT236"/>
  <c r="AM236"/>
  <c r="AM237"/>
  <c r="AN242"/>
  <c r="AU242"/>
  <c r="Z245"/>
  <c r="AH245"/>
  <c r="AA245"/>
  <c r="AW245"/>
  <c r="AW246"/>
  <c r="AJ254"/>
  <c r="AJ259"/>
  <c r="AJ459"/>
  <c r="AL269"/>
  <c r="AW269"/>
  <c r="AK269"/>
  <c r="Z269"/>
  <c r="AB269"/>
  <c r="AF269"/>
  <c r="AC269"/>
  <c r="AH279"/>
  <c r="AA279"/>
  <c r="AQ279"/>
  <c r="AR285"/>
  <c r="AH281"/>
  <c r="AA281"/>
  <c r="AQ281"/>
  <c r="AG319"/>
  <c r="AG333"/>
  <c r="AJ348"/>
  <c r="AJ364"/>
  <c r="AT347"/>
  <c r="AM347"/>
  <c r="S462"/>
  <c r="S369"/>
  <c r="S474"/>
  <c r="AO353"/>
  <c r="AH353"/>
  <c r="AA353"/>
  <c r="AQ353"/>
  <c r="AP353"/>
  <c r="AV485"/>
  <c r="AB218"/>
  <c r="AL218"/>
  <c r="R231"/>
  <c r="R240"/>
  <c r="AK223"/>
  <c r="AH223"/>
  <c r="AW223"/>
  <c r="AW231"/>
  <c r="AB235"/>
  <c r="AK235"/>
  <c r="AH236"/>
  <c r="AA236"/>
  <c r="AQ236"/>
  <c r="AM241"/>
  <c r="AL243"/>
  <c r="I259"/>
  <c r="AL246"/>
  <c r="AS254"/>
  <c r="AB249"/>
  <c r="AW249"/>
  <c r="AT251"/>
  <c r="AT253"/>
  <c r="AW256"/>
  <c r="AW258"/>
  <c r="AL256"/>
  <c r="W256"/>
  <c r="AK256"/>
  <c r="AR275"/>
  <c r="AK263"/>
  <c r="Z263"/>
  <c r="AW263"/>
  <c r="Z267"/>
  <c r="AK267"/>
  <c r="AW267"/>
  <c r="Z271"/>
  <c r="AK271"/>
  <c r="AW271"/>
  <c r="Z274"/>
  <c r="AK274"/>
  <c r="AW274"/>
  <c r="AH278"/>
  <c r="AA278"/>
  <c r="AT278"/>
  <c r="Z279"/>
  <c r="AL279"/>
  <c r="AH287"/>
  <c r="AH289"/>
  <c r="AA289"/>
  <c r="AT289"/>
  <c r="AL291"/>
  <c r="Z291"/>
  <c r="AW291"/>
  <c r="AH299"/>
  <c r="AA299"/>
  <c r="AQ299"/>
  <c r="AU304"/>
  <c r="AN304"/>
  <c r="Z313"/>
  <c r="AK313"/>
  <c r="AB313"/>
  <c r="AN315"/>
  <c r="AU315"/>
  <c r="Z316"/>
  <c r="AB316"/>
  <c r="AF316"/>
  <c r="AC316"/>
  <c r="AW316"/>
  <c r="AG368"/>
  <c r="AG463"/>
  <c r="AM373"/>
  <c r="AK375"/>
  <c r="AU377"/>
  <c r="AN377"/>
  <c r="AK378"/>
  <c r="R383"/>
  <c r="AL378"/>
  <c r="Z378"/>
  <c r="Z406"/>
  <c r="AW406"/>
  <c r="AW233"/>
  <c r="AW250"/>
  <c r="AH252"/>
  <c r="AA252"/>
  <c r="AQ252"/>
  <c r="AK264"/>
  <c r="Z264"/>
  <c r="AB264"/>
  <c r="AW264"/>
  <c r="AL268"/>
  <c r="AW268"/>
  <c r="AH268"/>
  <c r="Z272"/>
  <c r="AK272"/>
  <c r="AW272"/>
  <c r="AG275"/>
  <c r="AE285"/>
  <c r="AT277"/>
  <c r="AE292"/>
  <c r="AT295"/>
  <c r="AW298"/>
  <c r="AL298"/>
  <c r="AK298"/>
  <c r="W298"/>
  <c r="AA302"/>
  <c r="AH306"/>
  <c r="T341"/>
  <c r="T461"/>
  <c r="R321"/>
  <c r="P333"/>
  <c r="AI333"/>
  <c r="AI341"/>
  <c r="AI461"/>
  <c r="AT327"/>
  <c r="AM327"/>
  <c r="AT332"/>
  <c r="AM332"/>
  <c r="AG364"/>
  <c r="I356"/>
  <c r="I364"/>
  <c r="I369"/>
  <c r="R350"/>
  <c r="AU355"/>
  <c r="AN355"/>
  <c r="AM428"/>
  <c r="AM429"/>
  <c r="AT428"/>
  <c r="AT429"/>
  <c r="AK429"/>
  <c r="AK221"/>
  <c r="AB219"/>
  <c r="AW219"/>
  <c r="W233"/>
  <c r="AO239"/>
  <c r="W234"/>
  <c r="AB234"/>
  <c r="AL236"/>
  <c r="W236"/>
  <c r="AB243"/>
  <c r="R246"/>
  <c r="Z244"/>
  <c r="AE246"/>
  <c r="AI259"/>
  <c r="AI459"/>
  <c r="AN244"/>
  <c r="AN246"/>
  <c r="AG254"/>
  <c r="AP249"/>
  <c r="Z250"/>
  <c r="K275"/>
  <c r="K307"/>
  <c r="AN263"/>
  <c r="AL264"/>
  <c r="AW265"/>
  <c r="AL265"/>
  <c r="Z265"/>
  <c r="AM265"/>
  <c r="Z266"/>
  <c r="AK266"/>
  <c r="AW266"/>
  <c r="AN267"/>
  <c r="Z268"/>
  <c r="AB268"/>
  <c r="AM270"/>
  <c r="AN271"/>
  <c r="AB272"/>
  <c r="AL272"/>
  <c r="AL273"/>
  <c r="AW273"/>
  <c r="AB273"/>
  <c r="AH273"/>
  <c r="AM273"/>
  <c r="AN274"/>
  <c r="I275"/>
  <c r="I307"/>
  <c r="R285"/>
  <c r="AL277"/>
  <c r="Z277"/>
  <c r="AH277"/>
  <c r="AW277"/>
  <c r="AW285"/>
  <c r="AG285"/>
  <c r="AM277"/>
  <c r="AS285"/>
  <c r="AW279"/>
  <c r="AW288"/>
  <c r="AW292"/>
  <c r="AL288"/>
  <c r="Z288"/>
  <c r="AH288"/>
  <c r="AA288"/>
  <c r="AM288"/>
  <c r="Z290"/>
  <c r="AH290"/>
  <c r="AA290"/>
  <c r="AB290"/>
  <c r="AW294"/>
  <c r="AL294"/>
  <c r="W294"/>
  <c r="AH294"/>
  <c r="AM294"/>
  <c r="AL299"/>
  <c r="AW299"/>
  <c r="AK299"/>
  <c r="W299"/>
  <c r="AN303"/>
  <c r="AU303"/>
  <c r="AT315"/>
  <c r="AH316"/>
  <c r="AA316"/>
  <c r="AT318"/>
  <c r="AM318"/>
  <c r="AE333"/>
  <c r="AT326"/>
  <c r="AM326"/>
  <c r="AO329"/>
  <c r="AU330"/>
  <c r="AN330"/>
  <c r="AK331"/>
  <c r="AL331"/>
  <c r="Z331"/>
  <c r="AH331"/>
  <c r="AA331"/>
  <c r="AQ331"/>
  <c r="AW331"/>
  <c r="AI340"/>
  <c r="AO345"/>
  <c r="AP345"/>
  <c r="AH345"/>
  <c r="AW270"/>
  <c r="G307"/>
  <c r="S307"/>
  <c r="S460"/>
  <c r="AW296"/>
  <c r="AT297"/>
  <c r="AI306"/>
  <c r="AN302"/>
  <c r="AR302"/>
  <c r="AW303"/>
  <c r="AB303"/>
  <c r="AS303"/>
  <c r="AS304"/>
  <c r="AL305"/>
  <c r="AL306"/>
  <c r="W305"/>
  <c r="W306"/>
  <c r="AN314"/>
  <c r="AR333"/>
  <c r="AW323"/>
  <c r="AB323"/>
  <c r="AF323"/>
  <c r="AC323"/>
  <c r="AL323"/>
  <c r="AH323"/>
  <c r="Z324"/>
  <c r="AK324"/>
  <c r="AW324"/>
  <c r="AW332"/>
  <c r="AB332"/>
  <c r="AF332"/>
  <c r="AC332"/>
  <c r="AL332"/>
  <c r="AH332"/>
  <c r="R348"/>
  <c r="AL347"/>
  <c r="Z347"/>
  <c r="Z348"/>
  <c r="AW347"/>
  <c r="AU351"/>
  <c r="AW358"/>
  <c r="AL358"/>
  <c r="AK358"/>
  <c r="R363"/>
  <c r="W358"/>
  <c r="AN367"/>
  <c r="AN368"/>
  <c r="AN463"/>
  <c r="AL368"/>
  <c r="AL463"/>
  <c r="AU367"/>
  <c r="AU368"/>
  <c r="AU463"/>
  <c r="AE375"/>
  <c r="T387"/>
  <c r="AS398"/>
  <c r="AS399"/>
  <c r="AS465"/>
  <c r="AN397"/>
  <c r="AU397"/>
  <c r="AT411"/>
  <c r="AM411"/>
  <c r="AI467"/>
  <c r="AI476"/>
  <c r="AK296"/>
  <c r="P319"/>
  <c r="AW315"/>
  <c r="AW317"/>
  <c r="AL317"/>
  <c r="AL318"/>
  <c r="Z318"/>
  <c r="AH318"/>
  <c r="AA318"/>
  <c r="AQ318"/>
  <c r="AW318"/>
  <c r="AE319"/>
  <c r="AO323"/>
  <c r="AL325"/>
  <c r="AW325"/>
  <c r="AW326"/>
  <c r="AL326"/>
  <c r="Z326"/>
  <c r="AH326"/>
  <c r="AA326"/>
  <c r="AL327"/>
  <c r="Z327"/>
  <c r="AW327"/>
  <c r="AH327"/>
  <c r="AA327"/>
  <c r="AQ327"/>
  <c r="AK328"/>
  <c r="Z328"/>
  <c r="AW328"/>
  <c r="AO332"/>
  <c r="AV462"/>
  <c r="AV369"/>
  <c r="AV474"/>
  <c r="AH351"/>
  <c r="AA351"/>
  <c r="AQ351"/>
  <c r="AW354"/>
  <c r="AL354"/>
  <c r="AK354"/>
  <c r="Z354"/>
  <c r="T462"/>
  <c r="T369"/>
  <c r="T474"/>
  <c r="AL359"/>
  <c r="AW359"/>
  <c r="AK359"/>
  <c r="AB359"/>
  <c r="W359"/>
  <c r="AH377"/>
  <c r="AT380"/>
  <c r="AM380"/>
  <c r="AI383"/>
  <c r="AN385"/>
  <c r="AN386"/>
  <c r="AJ386"/>
  <c r="AE392"/>
  <c r="AE399"/>
  <c r="AE465"/>
  <c r="AH403"/>
  <c r="AA403"/>
  <c r="AB403"/>
  <c r="AR468"/>
  <c r="AR477"/>
  <c r="AK287"/>
  <c r="AJ300"/>
  <c r="W296"/>
  <c r="AH297"/>
  <c r="AA297"/>
  <c r="AQ297"/>
  <c r="AW297"/>
  <c r="AM305"/>
  <c r="R310"/>
  <c r="AR319"/>
  <c r="Z312"/>
  <c r="Z314"/>
  <c r="AK314"/>
  <c r="AW314"/>
  <c r="Z315"/>
  <c r="Z317"/>
  <c r="AH317"/>
  <c r="AN324"/>
  <c r="Z325"/>
  <c r="AB325"/>
  <c r="AB328"/>
  <c r="AL328"/>
  <c r="AW329"/>
  <c r="AB329"/>
  <c r="AF329"/>
  <c r="AC329"/>
  <c r="AL329"/>
  <c r="AH329"/>
  <c r="AM329"/>
  <c r="Z330"/>
  <c r="AK330"/>
  <c r="AW330"/>
  <c r="AW335"/>
  <c r="AL335"/>
  <c r="W335"/>
  <c r="AH335"/>
  <c r="AL336"/>
  <c r="W336"/>
  <c r="AW336"/>
  <c r="AH336"/>
  <c r="AA336"/>
  <c r="AQ336"/>
  <c r="AM336"/>
  <c r="AW337"/>
  <c r="AL337"/>
  <c r="W337"/>
  <c r="AH337"/>
  <c r="AA337"/>
  <c r="AQ337"/>
  <c r="AM337"/>
  <c r="AL338"/>
  <c r="W338"/>
  <c r="AB338"/>
  <c r="AW338"/>
  <c r="AH338"/>
  <c r="AA338"/>
  <c r="AQ338"/>
  <c r="AM338"/>
  <c r="AW339"/>
  <c r="AL339"/>
  <c r="W339"/>
  <c r="AB339"/>
  <c r="AH339"/>
  <c r="AA339"/>
  <c r="AQ339"/>
  <c r="AM339"/>
  <c r="AM345"/>
  <c r="AE348"/>
  <c r="AI348"/>
  <c r="AW348"/>
  <c r="AN346"/>
  <c r="AO352"/>
  <c r="AH352"/>
  <c r="AA352"/>
  <c r="AQ352"/>
  <c r="AP352"/>
  <c r="AL360"/>
  <c r="W360"/>
  <c r="AW360"/>
  <c r="AK360"/>
  <c r="AM361"/>
  <c r="AK368"/>
  <c r="AK463"/>
  <c r="AM367"/>
  <c r="AM368"/>
  <c r="AM463"/>
  <c r="AT367"/>
  <c r="AT368"/>
  <c r="AT463"/>
  <c r="AW373"/>
  <c r="AL373"/>
  <c r="R375"/>
  <c r="AO382"/>
  <c r="AK386"/>
  <c r="AM385"/>
  <c r="AM386"/>
  <c r="AT385"/>
  <c r="AT386"/>
  <c r="AV475"/>
  <c r="AK302"/>
  <c r="AW351"/>
  <c r="AW352"/>
  <c r="AT353"/>
  <c r="AO363"/>
  <c r="AN361"/>
  <c r="AR361"/>
  <c r="AW362"/>
  <c r="AB362"/>
  <c r="AS362"/>
  <c r="P387"/>
  <c r="Z374"/>
  <c r="AK374"/>
  <c r="AW374"/>
  <c r="S475"/>
  <c r="S464"/>
  <c r="AP379"/>
  <c r="AW379"/>
  <c r="W386"/>
  <c r="W387"/>
  <c r="P392"/>
  <c r="P399"/>
  <c r="R390"/>
  <c r="AG392"/>
  <c r="AG399"/>
  <c r="AG465"/>
  <c r="AF391"/>
  <c r="AC391"/>
  <c r="AD391"/>
  <c r="AR398"/>
  <c r="AR399"/>
  <c r="AR465"/>
  <c r="AT395"/>
  <c r="AM395"/>
  <c r="AW397"/>
  <c r="AK397"/>
  <c r="Z397"/>
  <c r="AB397"/>
  <c r="AB410"/>
  <c r="Z410"/>
  <c r="AW410"/>
  <c r="AH419"/>
  <c r="AA419"/>
  <c r="AE423"/>
  <c r="AX423"/>
  <c r="AO424"/>
  <c r="AP424"/>
  <c r="AH424"/>
  <c r="AA424"/>
  <c r="AQ424"/>
  <c r="AU424"/>
  <c r="AN424"/>
  <c r="AQ438"/>
  <c r="AB438"/>
  <c r="AM443"/>
  <c r="AK351"/>
  <c r="AG356"/>
  <c r="AH360"/>
  <c r="AA360"/>
  <c r="AQ360"/>
  <c r="AW367"/>
  <c r="AW368"/>
  <c r="AW463"/>
  <c r="P383"/>
  <c r="AL380"/>
  <c r="AW380"/>
  <c r="AK381"/>
  <c r="Z381"/>
  <c r="AW381"/>
  <c r="R398"/>
  <c r="AJ398"/>
  <c r="AJ399"/>
  <c r="AJ465"/>
  <c r="AP395"/>
  <c r="R412"/>
  <c r="R430"/>
  <c r="AL402"/>
  <c r="Z402"/>
  <c r="AW402"/>
  <c r="AW412"/>
  <c r="AK402"/>
  <c r="AJ430"/>
  <c r="AJ466"/>
  <c r="Z408"/>
  <c r="AH408"/>
  <c r="AA408"/>
  <c r="AB408"/>
  <c r="AW408"/>
  <c r="AT414"/>
  <c r="AM414"/>
  <c r="AT416"/>
  <c r="AM416"/>
  <c r="AT418"/>
  <c r="AM418"/>
  <c r="AT420"/>
  <c r="AM420"/>
  <c r="AJ429"/>
  <c r="AN428"/>
  <c r="AN429"/>
  <c r="AM434"/>
  <c r="AM435"/>
  <c r="AK435"/>
  <c r="AK441"/>
  <c r="AT434"/>
  <c r="AG476"/>
  <c r="AG467"/>
  <c r="AE356"/>
  <c r="AI356"/>
  <c r="Z351"/>
  <c r="AB355"/>
  <c r="AH358"/>
  <c r="Z367"/>
  <c r="R368"/>
  <c r="AN374"/>
  <c r="Z377"/>
  <c r="AK377"/>
  <c r="AJ383"/>
  <c r="AJ387"/>
  <c r="AW377"/>
  <c r="AB379"/>
  <c r="Z380"/>
  <c r="AL381"/>
  <c r="AW382"/>
  <c r="AB382"/>
  <c r="AL382"/>
  <c r="AH382"/>
  <c r="AM382"/>
  <c r="AE383"/>
  <c r="AE412"/>
  <c r="AF404"/>
  <c r="AC404"/>
  <c r="AD404"/>
  <c r="AH410"/>
  <c r="AA410"/>
  <c r="AB419"/>
  <c r="Z419"/>
  <c r="AW419"/>
  <c r="R421"/>
  <c r="AQ423"/>
  <c r="AS476"/>
  <c r="AS467"/>
  <c r="T399"/>
  <c r="T465"/>
  <c r="AH395"/>
  <c r="AB396"/>
  <c r="AL396"/>
  <c r="AF407"/>
  <c r="AC407"/>
  <c r="AD407"/>
  <c r="AR430"/>
  <c r="AR466"/>
  <c r="AP415"/>
  <c r="AP417"/>
  <c r="AT424"/>
  <c r="W429"/>
  <c r="W430"/>
  <c r="AS428"/>
  <c r="AS429"/>
  <c r="AL429"/>
  <c r="AU428"/>
  <c r="AU429"/>
  <c r="AR428"/>
  <c r="AR429"/>
  <c r="AO437"/>
  <c r="AO440"/>
  <c r="AO441"/>
  <c r="AH437"/>
  <c r="Z440"/>
  <c r="AP437"/>
  <c r="AP440"/>
  <c r="AP441"/>
  <c r="AT442"/>
  <c r="AG446"/>
  <c r="AH445"/>
  <c r="AA445"/>
  <c r="AQ445"/>
  <c r="AJ477"/>
  <c r="AJ468"/>
  <c r="S467"/>
  <c r="AG412"/>
  <c r="AG430"/>
  <c r="AG466"/>
  <c r="Z409"/>
  <c r="AH409"/>
  <c r="AA409"/>
  <c r="AW411"/>
  <c r="AL411"/>
  <c r="Z411"/>
  <c r="AH411"/>
  <c r="AA411"/>
  <c r="AQ411"/>
  <c r="AW414"/>
  <c r="AL414"/>
  <c r="Z414"/>
  <c r="AH414"/>
  <c r="AL416"/>
  <c r="Z416"/>
  <c r="AB416"/>
  <c r="AW416"/>
  <c r="AH416"/>
  <c r="AA416"/>
  <c r="AQ416"/>
  <c r="AW418"/>
  <c r="AL418"/>
  <c r="Z418"/>
  <c r="AW420"/>
  <c r="AL420"/>
  <c r="Z420"/>
  <c r="AB420"/>
  <c r="AH420"/>
  <c r="AA420"/>
  <c r="AQ420"/>
  <c r="AH429"/>
  <c r="AA428"/>
  <c r="AE440"/>
  <c r="AE441"/>
  <c r="AU439"/>
  <c r="AN443"/>
  <c r="AU443"/>
  <c r="AO444"/>
  <c r="AP444"/>
  <c r="AH444"/>
  <c r="AA444"/>
  <c r="AQ444"/>
  <c r="AS430"/>
  <c r="AS466"/>
  <c r="AW409"/>
  <c r="AB415"/>
  <c r="AB417"/>
  <c r="AF419"/>
  <c r="AC419"/>
  <c r="Z426"/>
  <c r="AO423"/>
  <c r="AM425"/>
  <c r="AU433"/>
  <c r="AN433"/>
  <c r="AW445"/>
  <c r="AL445"/>
  <c r="Z445"/>
  <c r="AK445"/>
  <c r="AR435"/>
  <c r="AR441"/>
  <c r="AL434"/>
  <c r="AN438"/>
  <c r="AN440"/>
  <c r="AW439"/>
  <c r="AW440"/>
  <c r="AB439"/>
  <c r="AM439"/>
  <c r="AU442"/>
  <c r="AB444"/>
  <c r="AL444"/>
  <c r="S468"/>
  <c r="S477"/>
  <c r="AV468"/>
  <c r="AF433"/>
  <c r="AJ441"/>
  <c r="Z435"/>
  <c r="Z441"/>
  <c r="AU437"/>
  <c r="AU440"/>
  <c r="AF439"/>
  <c r="AC439"/>
  <c r="AO439"/>
  <c r="T476"/>
  <c r="T467"/>
  <c r="R446"/>
  <c r="AW443"/>
  <c r="AI477"/>
  <c r="AI468"/>
  <c r="AT433"/>
  <c r="AB434"/>
  <c r="R435"/>
  <c r="R441"/>
  <c r="AV441"/>
  <c r="AK440"/>
  <c r="AM437"/>
  <c r="AM440"/>
  <c r="Z443"/>
  <c r="AH443"/>
  <c r="AE446"/>
  <c r="AS446"/>
  <c r="AW444"/>
  <c r="T468"/>
  <c r="A480"/>
  <c r="S487"/>
  <c r="A484"/>
  <c r="AQ151"/>
  <c r="AB133"/>
  <c r="AB360"/>
  <c r="AH325"/>
  <c r="AB154"/>
  <c r="AF154"/>
  <c r="AC154"/>
  <c r="AM304"/>
  <c r="AT304"/>
  <c r="AT44"/>
  <c r="AM44"/>
  <c r="AU395"/>
  <c r="AN395"/>
  <c r="AO132"/>
  <c r="AP132"/>
  <c r="AN48"/>
  <c r="AU48"/>
  <c r="AU211"/>
  <c r="AN211"/>
  <c r="P341"/>
  <c r="K447"/>
  <c r="AN146"/>
  <c r="AH253"/>
  <c r="AA253"/>
  <c r="AT203"/>
  <c r="AI171"/>
  <c r="AI473"/>
  <c r="AI137"/>
  <c r="AD85"/>
  <c r="AM194"/>
  <c r="AM196"/>
  <c r="R141"/>
  <c r="AM100"/>
  <c r="AB144"/>
  <c r="AB117"/>
  <c r="AF117"/>
  <c r="AC117"/>
  <c r="AD117"/>
  <c r="AN281"/>
  <c r="AO99"/>
  <c r="AP99"/>
  <c r="AM90"/>
  <c r="AT90"/>
  <c r="AN73"/>
  <c r="AU73"/>
  <c r="AU253"/>
  <c r="AN253"/>
  <c r="AO130"/>
  <c r="AP130"/>
  <c r="AP161"/>
  <c r="AO161"/>
  <c r="AM114"/>
  <c r="AT114"/>
  <c r="AO201"/>
  <c r="AP201"/>
  <c r="AB295"/>
  <c r="AE295"/>
  <c r="AF295"/>
  <c r="AC295"/>
  <c r="AD295"/>
  <c r="AF146"/>
  <c r="AC146"/>
  <c r="AD146"/>
  <c r="T487"/>
  <c r="AB405"/>
  <c r="AF405"/>
  <c r="AC405"/>
  <c r="AD405"/>
  <c r="AB395"/>
  <c r="AL394"/>
  <c r="AK394"/>
  <c r="AT394"/>
  <c r="AH397"/>
  <c r="AT355"/>
  <c r="AM352"/>
  <c r="AW306"/>
  <c r="AN284"/>
  <c r="AN257"/>
  <c r="AT346"/>
  <c r="AT348"/>
  <c r="AE304"/>
  <c r="AF304"/>
  <c r="AC304"/>
  <c r="AD304"/>
  <c r="AW239"/>
  <c r="AB251"/>
  <c r="AO281"/>
  <c r="AT233"/>
  <c r="AW214"/>
  <c r="AW170"/>
  <c r="I447"/>
  <c r="AK285"/>
  <c r="AO253"/>
  <c r="AO196"/>
  <c r="AN278"/>
  <c r="AM228"/>
  <c r="P191"/>
  <c r="AK175"/>
  <c r="AB162"/>
  <c r="AF162"/>
  <c r="AC162"/>
  <c r="AD162"/>
  <c r="T454"/>
  <c r="AH133"/>
  <c r="AA133"/>
  <c r="AQ133"/>
  <c r="AD92"/>
  <c r="AD84"/>
  <c r="AB262"/>
  <c r="AK262"/>
  <c r="AB238"/>
  <c r="AT194"/>
  <c r="AT196"/>
  <c r="AJ171"/>
  <c r="AJ473"/>
  <c r="AO142"/>
  <c r="AG171"/>
  <c r="AB102"/>
  <c r="AS137"/>
  <c r="AS472"/>
  <c r="AN83"/>
  <c r="AM144"/>
  <c r="AH142"/>
  <c r="AN132"/>
  <c r="AH130"/>
  <c r="AA130"/>
  <c r="R137"/>
  <c r="AS75"/>
  <c r="AB63"/>
  <c r="AE63"/>
  <c r="AF63"/>
  <c r="AC63"/>
  <c r="AD63"/>
  <c r="AT26"/>
  <c r="AH115"/>
  <c r="AA115"/>
  <c r="AB115"/>
  <c r="AU385"/>
  <c r="AU386"/>
  <c r="AL386"/>
  <c r="AO287"/>
  <c r="AP287"/>
  <c r="AN270"/>
  <c r="AU270"/>
  <c r="AU237"/>
  <c r="AN237"/>
  <c r="AO124"/>
  <c r="AP124"/>
  <c r="AT65"/>
  <c r="AM65"/>
  <c r="AH230"/>
  <c r="AA230"/>
  <c r="AQ230"/>
  <c r="AO396"/>
  <c r="AP396"/>
  <c r="AB361"/>
  <c r="AN142"/>
  <c r="AU142"/>
  <c r="AT51"/>
  <c r="AM51"/>
  <c r="AN110"/>
  <c r="AU110"/>
  <c r="AT31"/>
  <c r="AM31"/>
  <c r="AM211"/>
  <c r="AM214"/>
  <c r="AT211"/>
  <c r="AT214"/>
  <c r="AH103"/>
  <c r="AA103"/>
  <c r="AQ103"/>
  <c r="AE93"/>
  <c r="AF93"/>
  <c r="AC93"/>
  <c r="AD93"/>
  <c r="S488"/>
  <c r="AM348"/>
  <c r="AB318"/>
  <c r="T447"/>
  <c r="AW121"/>
  <c r="AH46"/>
  <c r="AH452"/>
  <c r="AA385"/>
  <c r="AH386"/>
  <c r="AM250"/>
  <c r="AT250"/>
  <c r="AO144"/>
  <c r="AP144"/>
  <c r="AM105"/>
  <c r="AT105"/>
  <c r="AT396"/>
  <c r="AM396"/>
  <c r="AM86"/>
  <c r="AT86"/>
  <c r="AO126"/>
  <c r="AP126"/>
  <c r="AU295"/>
  <c r="AN295"/>
  <c r="AV447"/>
  <c r="AL383"/>
  <c r="Z394"/>
  <c r="AB337"/>
  <c r="AD337"/>
  <c r="AU352"/>
  <c r="AI307"/>
  <c r="AI460"/>
  <c r="AB189"/>
  <c r="AH250"/>
  <c r="AA250"/>
  <c r="AQ250"/>
  <c r="AB385"/>
  <c r="AU353"/>
  <c r="AN353"/>
  <c r="AO155"/>
  <c r="AP155"/>
  <c r="AM281"/>
  <c r="AT281"/>
  <c r="AP270"/>
  <c r="AO270"/>
  <c r="AT24"/>
  <c r="AM24"/>
  <c r="AB411"/>
  <c r="AH406"/>
  <c r="AA406"/>
  <c r="AB406"/>
  <c r="AS385"/>
  <c r="AS386"/>
  <c r="AS387"/>
  <c r="Z373"/>
  <c r="AB373"/>
  <c r="AK348"/>
  <c r="AB336"/>
  <c r="AE336"/>
  <c r="AF336"/>
  <c r="AC336"/>
  <c r="AD336"/>
  <c r="AJ307"/>
  <c r="AJ460"/>
  <c r="AB327"/>
  <c r="AU345"/>
  <c r="AU348"/>
  <c r="AB270"/>
  <c r="AF270"/>
  <c r="AC270"/>
  <c r="AH270"/>
  <c r="AB257"/>
  <c r="AN235"/>
  <c r="AW221"/>
  <c r="AW240"/>
  <c r="AW458"/>
  <c r="AR257"/>
  <c r="AQ256"/>
  <c r="AQ258"/>
  <c r="AP230"/>
  <c r="AB155"/>
  <c r="AF155"/>
  <c r="AC155"/>
  <c r="AT201"/>
  <c r="AB199"/>
  <c r="AJ215"/>
  <c r="AJ457"/>
  <c r="AJ191"/>
  <c r="AJ456"/>
  <c r="AB110"/>
  <c r="AF110"/>
  <c r="AC110"/>
  <c r="AH110"/>
  <c r="AB103"/>
  <c r="AF103"/>
  <c r="AC103"/>
  <c r="AD103"/>
  <c r="AD91"/>
  <c r="AM73"/>
  <c r="AB57"/>
  <c r="AB40"/>
  <c r="AE40"/>
  <c r="AF40"/>
  <c r="AC40"/>
  <c r="AD40"/>
  <c r="W94"/>
  <c r="AB211"/>
  <c r="AH134"/>
  <c r="AA134"/>
  <c r="AB134"/>
  <c r="AH132"/>
  <c r="AA132"/>
  <c r="AQ132"/>
  <c r="AB80"/>
  <c r="AB75"/>
  <c r="AN57"/>
  <c r="AU51"/>
  <c r="AH117"/>
  <c r="AA117"/>
  <c r="AG471"/>
  <c r="R340"/>
  <c r="AK335"/>
  <c r="AO278"/>
  <c r="AP278"/>
  <c r="AM257"/>
  <c r="AT257"/>
  <c r="AO346"/>
  <c r="AP346"/>
  <c r="AT218"/>
  <c r="AM218"/>
  <c r="AO203"/>
  <c r="AP203"/>
  <c r="AB161"/>
  <c r="AM75"/>
  <c r="AT75"/>
  <c r="AT39"/>
  <c r="AM39"/>
  <c r="AB174"/>
  <c r="AS295"/>
  <c r="AR295"/>
  <c r="AH99"/>
  <c r="AA99"/>
  <c r="AE338"/>
  <c r="AF338"/>
  <c r="AC338"/>
  <c r="AD338"/>
  <c r="AA333"/>
  <c r="AQ326"/>
  <c r="AQ333"/>
  <c r="AB326"/>
  <c r="AF290"/>
  <c r="AC290"/>
  <c r="AD290"/>
  <c r="AA246"/>
  <c r="AB245"/>
  <c r="AF322"/>
  <c r="AC322"/>
  <c r="AD322"/>
  <c r="AH136"/>
  <c r="AA123"/>
  <c r="AF120"/>
  <c r="AC120"/>
  <c r="AD120"/>
  <c r="AA414"/>
  <c r="AF411"/>
  <c r="AC411"/>
  <c r="AD411"/>
  <c r="AP476"/>
  <c r="AP467"/>
  <c r="AR475"/>
  <c r="AR464"/>
  <c r="AA248"/>
  <c r="AF180"/>
  <c r="AC180"/>
  <c r="AD180"/>
  <c r="AF102"/>
  <c r="AC102"/>
  <c r="AD102"/>
  <c r="AF115"/>
  <c r="AC115"/>
  <c r="AD115"/>
  <c r="AH446"/>
  <c r="AA443"/>
  <c r="AO467"/>
  <c r="AO476"/>
  <c r="AE337"/>
  <c r="AF337"/>
  <c r="AC337"/>
  <c r="AD397"/>
  <c r="AF397"/>
  <c r="AC397"/>
  <c r="AS475"/>
  <c r="AS464"/>
  <c r="AF373"/>
  <c r="AE339"/>
  <c r="AF339"/>
  <c r="AC339"/>
  <c r="AD339"/>
  <c r="AF408"/>
  <c r="AC408"/>
  <c r="AD408"/>
  <c r="AF327"/>
  <c r="AC327"/>
  <c r="AD327"/>
  <c r="AQ288"/>
  <c r="AB288"/>
  <c r="AN239"/>
  <c r="AF283"/>
  <c r="AC283"/>
  <c r="AD283"/>
  <c r="AE212"/>
  <c r="AF212"/>
  <c r="AC212"/>
  <c r="AD212"/>
  <c r="AQ205"/>
  <c r="AB205"/>
  <c r="AF199"/>
  <c r="AC199"/>
  <c r="AD199"/>
  <c r="AE476"/>
  <c r="AE467"/>
  <c r="AD420"/>
  <c r="AF420"/>
  <c r="AD416"/>
  <c r="AF416"/>
  <c r="AC416"/>
  <c r="AF403"/>
  <c r="AC403"/>
  <c r="AD403"/>
  <c r="AF318"/>
  <c r="AC318"/>
  <c r="AD318"/>
  <c r="AE188"/>
  <c r="AF188"/>
  <c r="AC188"/>
  <c r="AD188"/>
  <c r="AQ428"/>
  <c r="AQ429"/>
  <c r="AB428"/>
  <c r="AA429"/>
  <c r="AP418"/>
  <c r="AO418"/>
  <c r="AN416"/>
  <c r="AU416"/>
  <c r="AN411"/>
  <c r="AU411"/>
  <c r="AU394"/>
  <c r="AN394"/>
  <c r="AL398"/>
  <c r="AM377"/>
  <c r="AK383"/>
  <c r="AT377"/>
  <c r="AO381"/>
  <c r="AP381"/>
  <c r="AH381"/>
  <c r="AK306"/>
  <c r="AT302"/>
  <c r="AM302"/>
  <c r="AN335"/>
  <c r="AL340"/>
  <c r="AU335"/>
  <c r="AN329"/>
  <c r="AU329"/>
  <c r="AE359"/>
  <c r="AF359"/>
  <c r="AC359"/>
  <c r="AD359"/>
  <c r="AN354"/>
  <c r="AU354"/>
  <c r="AN327"/>
  <c r="AU327"/>
  <c r="AN358"/>
  <c r="AU358"/>
  <c r="AL363"/>
  <c r="AM299"/>
  <c r="AT299"/>
  <c r="AW300"/>
  <c r="AM266"/>
  <c r="AT266"/>
  <c r="AU264"/>
  <c r="AN264"/>
  <c r="AK300"/>
  <c r="AM272"/>
  <c r="AT272"/>
  <c r="AK387"/>
  <c r="AF313"/>
  <c r="AC313"/>
  <c r="AD313"/>
  <c r="AM271"/>
  <c r="AT271"/>
  <c r="AM263"/>
  <c r="AT263"/>
  <c r="AM235"/>
  <c r="AM239"/>
  <c r="AT235"/>
  <c r="AT239"/>
  <c r="AP202"/>
  <c r="AO202"/>
  <c r="AE187"/>
  <c r="AF187"/>
  <c r="AC187"/>
  <c r="AD187"/>
  <c r="AS166"/>
  <c r="AR166"/>
  <c r="AB166"/>
  <c r="AU311"/>
  <c r="AN311"/>
  <c r="AP227"/>
  <c r="AO227"/>
  <c r="AN199"/>
  <c r="AU199"/>
  <c r="AU165"/>
  <c r="AL170"/>
  <c r="AN165"/>
  <c r="AA165"/>
  <c r="AH170"/>
  <c r="AP159"/>
  <c r="AO159"/>
  <c r="AF147"/>
  <c r="AC147"/>
  <c r="AD147"/>
  <c r="AP147"/>
  <c r="AO147"/>
  <c r="AT135"/>
  <c r="AM135"/>
  <c r="AM136"/>
  <c r="AE73"/>
  <c r="AF73"/>
  <c r="AC73"/>
  <c r="AD73"/>
  <c r="AE71"/>
  <c r="AF71"/>
  <c r="AC71"/>
  <c r="AD71"/>
  <c r="AE57"/>
  <c r="AF57"/>
  <c r="AC57"/>
  <c r="AD57"/>
  <c r="AE43"/>
  <c r="AF43"/>
  <c r="AC43"/>
  <c r="AD43"/>
  <c r="AX43"/>
  <c r="AX40"/>
  <c r="AA18"/>
  <c r="AH19"/>
  <c r="AF262"/>
  <c r="AM262"/>
  <c r="AT262"/>
  <c r="AK275"/>
  <c r="AE238"/>
  <c r="AF238"/>
  <c r="AC238"/>
  <c r="AD238"/>
  <c r="AN229"/>
  <c r="AU229"/>
  <c r="AN180"/>
  <c r="AU180"/>
  <c r="AD154"/>
  <c r="AF150"/>
  <c r="AC150"/>
  <c r="AD150"/>
  <c r="AG455"/>
  <c r="AK136"/>
  <c r="AM104"/>
  <c r="AT104"/>
  <c r="AN102"/>
  <c r="AU102"/>
  <c r="AU63"/>
  <c r="AN63"/>
  <c r="AM224"/>
  <c r="AT224"/>
  <c r="AE211"/>
  <c r="AF211"/>
  <c r="AC211"/>
  <c r="AD211"/>
  <c r="AD157"/>
  <c r="AF157"/>
  <c r="AC157"/>
  <c r="AP157"/>
  <c r="AO157"/>
  <c r="AD143"/>
  <c r="AF143"/>
  <c r="AC143"/>
  <c r="AQ130"/>
  <c r="AB130"/>
  <c r="AU118"/>
  <c r="AN118"/>
  <c r="AU105"/>
  <c r="AN105"/>
  <c r="AC97"/>
  <c r="AU90"/>
  <c r="AN90"/>
  <c r="AU86"/>
  <c r="AN86"/>
  <c r="AQ83"/>
  <c r="AB83"/>
  <c r="AQ79"/>
  <c r="AB79"/>
  <c r="AM63"/>
  <c r="AT63"/>
  <c r="AE60"/>
  <c r="AF60"/>
  <c r="AC60"/>
  <c r="AD60"/>
  <c r="AE55"/>
  <c r="AF55"/>
  <c r="AC55"/>
  <c r="AD55"/>
  <c r="AM50"/>
  <c r="AT50"/>
  <c r="AM38"/>
  <c r="AK46"/>
  <c r="AK452"/>
  <c r="AT38"/>
  <c r="AN30"/>
  <c r="AU30"/>
  <c r="AA22"/>
  <c r="AH27"/>
  <c r="AH450"/>
  <c r="AP252"/>
  <c r="AO252"/>
  <c r="AH239"/>
  <c r="AA233"/>
  <c r="AE209"/>
  <c r="Z148"/>
  <c r="AB148"/>
  <c r="AK148"/>
  <c r="AW148"/>
  <c r="AL148"/>
  <c r="AH148"/>
  <c r="AF108"/>
  <c r="AC108"/>
  <c r="AD108"/>
  <c r="AM30"/>
  <c r="AM32"/>
  <c r="AM451"/>
  <c r="AT30"/>
  <c r="AK32"/>
  <c r="AK451"/>
  <c r="AE26"/>
  <c r="AF26"/>
  <c r="AC26"/>
  <c r="AD26"/>
  <c r="AX26"/>
  <c r="AN15"/>
  <c r="AU15"/>
  <c r="B200"/>
  <c r="B201"/>
  <c r="B202"/>
  <c r="B203"/>
  <c r="B204"/>
  <c r="B206"/>
  <c r="B209"/>
  <c r="B210"/>
  <c r="B211"/>
  <c r="B212"/>
  <c r="B213"/>
  <c r="B218"/>
  <c r="B219"/>
  <c r="B220"/>
  <c r="B223"/>
  <c r="B224"/>
  <c r="B225"/>
  <c r="B226"/>
  <c r="B227"/>
  <c r="B228"/>
  <c r="B229"/>
  <c r="B230"/>
  <c r="B233"/>
  <c r="B234"/>
  <c r="B235"/>
  <c r="B236"/>
  <c r="B237"/>
  <c r="B238"/>
  <c r="B244"/>
  <c r="B245"/>
  <c r="B248"/>
  <c r="B249"/>
  <c r="B250"/>
  <c r="B251"/>
  <c r="B252"/>
  <c r="B253"/>
  <c r="B256"/>
  <c r="B257"/>
  <c r="B262"/>
  <c r="B263"/>
  <c r="B264"/>
  <c r="AP17"/>
  <c r="AO17"/>
  <c r="AU17"/>
  <c r="AU481"/>
  <c r="AN17"/>
  <c r="AM53"/>
  <c r="AT53"/>
  <c r="AA32"/>
  <c r="AQ29"/>
  <c r="AQ32"/>
  <c r="AQ451"/>
  <c r="AX51"/>
  <c r="AE51"/>
  <c r="AF51"/>
  <c r="AC51"/>
  <c r="AD51"/>
  <c r="AF98"/>
  <c r="AC98"/>
  <c r="AD98"/>
  <c r="AE477"/>
  <c r="AE468"/>
  <c r="AT435"/>
  <c r="AT441"/>
  <c r="AW446"/>
  <c r="AJ476"/>
  <c r="AJ467"/>
  <c r="AP445"/>
  <c r="AO445"/>
  <c r="AF417"/>
  <c r="AC417"/>
  <c r="AD417"/>
  <c r="AN418"/>
  <c r="AU418"/>
  <c r="AW430"/>
  <c r="AW466"/>
  <c r="AB409"/>
  <c r="AN396"/>
  <c r="AU396"/>
  <c r="AA426"/>
  <c r="AF379"/>
  <c r="AC379"/>
  <c r="AD379"/>
  <c r="Z383"/>
  <c r="AO377"/>
  <c r="AP377"/>
  <c r="AB377"/>
  <c r="AP351"/>
  <c r="AO351"/>
  <c r="AK412"/>
  <c r="AK430"/>
  <c r="AK466"/>
  <c r="AT402"/>
  <c r="AT412"/>
  <c r="AM402"/>
  <c r="AM412"/>
  <c r="AM430"/>
  <c r="AM466"/>
  <c r="AL412"/>
  <c r="AN402"/>
  <c r="AN412"/>
  <c r="AU402"/>
  <c r="AU412"/>
  <c r="AP394"/>
  <c r="Z398"/>
  <c r="AO394"/>
  <c r="AH394"/>
  <c r="AM381"/>
  <c r="AT381"/>
  <c r="AN380"/>
  <c r="AU380"/>
  <c r="AF423"/>
  <c r="AC423"/>
  <c r="AD423"/>
  <c r="R392"/>
  <c r="R399"/>
  <c r="AL390"/>
  <c r="AW390"/>
  <c r="AW392"/>
  <c r="Z390"/>
  <c r="AB390"/>
  <c r="AK390"/>
  <c r="AM374"/>
  <c r="AT374"/>
  <c r="AT375"/>
  <c r="R387"/>
  <c r="AL375"/>
  <c r="AN373"/>
  <c r="AN375"/>
  <c r="AU373"/>
  <c r="AU375"/>
  <c r="AB352"/>
  <c r="AI364"/>
  <c r="AO330"/>
  <c r="AP330"/>
  <c r="AB330"/>
  <c r="AD329"/>
  <c r="AP325"/>
  <c r="AO325"/>
  <c r="AT314"/>
  <c r="AM314"/>
  <c r="Z310"/>
  <c r="AW310"/>
  <c r="AW319"/>
  <c r="AL310"/>
  <c r="R319"/>
  <c r="R341"/>
  <c r="AK310"/>
  <c r="AM359"/>
  <c r="AT359"/>
  <c r="AN325"/>
  <c r="AU325"/>
  <c r="AT296"/>
  <c r="AM296"/>
  <c r="AM300"/>
  <c r="AR358"/>
  <c r="AS358"/>
  <c r="W363"/>
  <c r="W364"/>
  <c r="W369"/>
  <c r="AM324"/>
  <c r="AT324"/>
  <c r="AD323"/>
  <c r="W300"/>
  <c r="W307"/>
  <c r="AR294"/>
  <c r="AS294"/>
  <c r="AP277"/>
  <c r="Z285"/>
  <c r="AO277"/>
  <c r="AP268"/>
  <c r="AO268"/>
  <c r="AO266"/>
  <c r="AP266"/>
  <c r="AB266"/>
  <c r="AN265"/>
  <c r="AU265"/>
  <c r="AF264"/>
  <c r="AC264"/>
  <c r="AD264"/>
  <c r="AE257"/>
  <c r="AF257"/>
  <c r="AC257"/>
  <c r="AD257"/>
  <c r="AH244"/>
  <c r="AH246"/>
  <c r="AP244"/>
  <c r="AP246"/>
  <c r="AB244"/>
  <c r="Z246"/>
  <c r="AO244"/>
  <c r="AO246"/>
  <c r="AN236"/>
  <c r="AU236"/>
  <c r="AR233"/>
  <c r="W239"/>
  <c r="W240"/>
  <c r="AS233"/>
  <c r="R356"/>
  <c r="R364"/>
  <c r="R369"/>
  <c r="AL350"/>
  <c r="Z350"/>
  <c r="AK350"/>
  <c r="AW350"/>
  <c r="AW356"/>
  <c r="AW364"/>
  <c r="AT298"/>
  <c r="AM298"/>
  <c r="AG307"/>
  <c r="AG460"/>
  <c r="AO272"/>
  <c r="AP272"/>
  <c r="AH272"/>
  <c r="AO264"/>
  <c r="AP264"/>
  <c r="AH264"/>
  <c r="AU378"/>
  <c r="AN378"/>
  <c r="AM375"/>
  <c r="AH330"/>
  <c r="AM313"/>
  <c r="AT313"/>
  <c r="AQ289"/>
  <c r="AB289"/>
  <c r="AO279"/>
  <c r="AP279"/>
  <c r="AB279"/>
  <c r="AM274"/>
  <c r="AT274"/>
  <c r="AO271"/>
  <c r="AH271"/>
  <c r="AB271"/>
  <c r="AP271"/>
  <c r="AO267"/>
  <c r="AH267"/>
  <c r="AB267"/>
  <c r="AP267"/>
  <c r="AN256"/>
  <c r="AN258"/>
  <c r="AL258"/>
  <c r="AL259"/>
  <c r="AL459"/>
  <c r="AU256"/>
  <c r="AU258"/>
  <c r="AF251"/>
  <c r="AC251"/>
  <c r="AD251"/>
  <c r="AE235"/>
  <c r="AF235"/>
  <c r="AC235"/>
  <c r="AD235"/>
  <c r="AA223"/>
  <c r="AF218"/>
  <c r="AB353"/>
  <c r="AP269"/>
  <c r="AO269"/>
  <c r="AN269"/>
  <c r="AU269"/>
  <c r="AL239"/>
  <c r="AK239"/>
  <c r="AH220"/>
  <c r="AH221"/>
  <c r="AR210"/>
  <c r="AR214"/>
  <c r="AR215"/>
  <c r="AR457"/>
  <c r="AS210"/>
  <c r="AN204"/>
  <c r="AU204"/>
  <c r="AH202"/>
  <c r="AA202"/>
  <c r="AQ202"/>
  <c r="AN202"/>
  <c r="AU202"/>
  <c r="AR187"/>
  <c r="AS187"/>
  <c r="AF182"/>
  <c r="AC182"/>
  <c r="AD182"/>
  <c r="AT178"/>
  <c r="AM178"/>
  <c r="AU174"/>
  <c r="AU175"/>
  <c r="AL175"/>
  <c r="AN174"/>
  <c r="AN175"/>
  <c r="AE168"/>
  <c r="AF168"/>
  <c r="AC168"/>
  <c r="AD168"/>
  <c r="AF149"/>
  <c r="AC149"/>
  <c r="AD149"/>
  <c r="AM322"/>
  <c r="AT322"/>
  <c r="AT282"/>
  <c r="AM282"/>
  <c r="AP280"/>
  <c r="AO280"/>
  <c r="AN212"/>
  <c r="AU212"/>
  <c r="AH206"/>
  <c r="AA206"/>
  <c r="AQ206"/>
  <c r="AN206"/>
  <c r="AU206"/>
  <c r="AU166"/>
  <c r="AN166"/>
  <c r="AT311"/>
  <c r="AM311"/>
  <c r="AH269"/>
  <c r="AK254"/>
  <c r="AM248"/>
  <c r="AT248"/>
  <c r="AN227"/>
  <c r="AU227"/>
  <c r="AU220"/>
  <c r="AN220"/>
  <c r="AH214"/>
  <c r="AB196"/>
  <c r="AE169"/>
  <c r="AF169"/>
  <c r="AC169"/>
  <c r="AD169"/>
  <c r="AM161"/>
  <c r="AT161"/>
  <c r="S473"/>
  <c r="S455"/>
  <c r="AD110"/>
  <c r="AB297"/>
  <c r="AF219"/>
  <c r="AC219"/>
  <c r="AD219"/>
  <c r="AK198"/>
  <c r="AL198"/>
  <c r="R207"/>
  <c r="R215"/>
  <c r="Z198"/>
  <c r="AW198"/>
  <c r="AW207"/>
  <c r="AT185"/>
  <c r="AM185"/>
  <c r="AF181"/>
  <c r="AC181"/>
  <c r="AD181"/>
  <c r="AP181"/>
  <c r="AO181"/>
  <c r="AP162"/>
  <c r="AO162"/>
  <c r="AB159"/>
  <c r="AH157"/>
  <c r="AM147"/>
  <c r="AT147"/>
  <c r="AI455"/>
  <c r="AF135"/>
  <c r="AC135"/>
  <c r="AD135"/>
  <c r="AP133"/>
  <c r="AO133"/>
  <c r="AP131"/>
  <c r="AO131"/>
  <c r="AP129"/>
  <c r="AO129"/>
  <c r="AP127"/>
  <c r="AO127"/>
  <c r="AP125"/>
  <c r="AO125"/>
  <c r="AM116"/>
  <c r="AT116"/>
  <c r="AT106"/>
  <c r="AM106"/>
  <c r="AU104"/>
  <c r="AN104"/>
  <c r="AI472"/>
  <c r="AI454"/>
  <c r="AE76"/>
  <c r="AF76"/>
  <c r="AC76"/>
  <c r="AD76"/>
  <c r="AB69"/>
  <c r="AL94"/>
  <c r="AL453"/>
  <c r="AB30"/>
  <c r="AB48"/>
  <c r="AQ48"/>
  <c r="AA94"/>
  <c r="AH94"/>
  <c r="AH453"/>
  <c r="AL275"/>
  <c r="AU262"/>
  <c r="AN262"/>
  <c r="AN254"/>
  <c r="AN259"/>
  <c r="AN459"/>
  <c r="AR238"/>
  <c r="AS238"/>
  <c r="AO229"/>
  <c r="AP229"/>
  <c r="AN158"/>
  <c r="AU158"/>
  <c r="AP154"/>
  <c r="AO154"/>
  <c r="AM150"/>
  <c r="AT150"/>
  <c r="AD142"/>
  <c r="Z121"/>
  <c r="AO104"/>
  <c r="AP104"/>
  <c r="AH104"/>
  <c r="AT69"/>
  <c r="AM69"/>
  <c r="AU40"/>
  <c r="AN40"/>
  <c r="AN25"/>
  <c r="AU25"/>
  <c r="AN224"/>
  <c r="AU224"/>
  <c r="AH190"/>
  <c r="AA185"/>
  <c r="AM157"/>
  <c r="AT157"/>
  <c r="AB145"/>
  <c r="AQ124"/>
  <c r="AB124"/>
  <c r="AF118"/>
  <c r="AC118"/>
  <c r="AD118"/>
  <c r="AO112"/>
  <c r="AH112"/>
  <c r="AB112"/>
  <c r="AP112"/>
  <c r="AB105"/>
  <c r="AO101"/>
  <c r="AH101"/>
  <c r="AB101"/>
  <c r="AP101"/>
  <c r="AE137"/>
  <c r="AU89"/>
  <c r="AN89"/>
  <c r="AU85"/>
  <c r="AN85"/>
  <c r="AN80"/>
  <c r="AU80"/>
  <c r="AE50"/>
  <c r="AF50"/>
  <c r="AC50"/>
  <c r="AD50"/>
  <c r="AX50"/>
  <c r="AE38"/>
  <c r="AX38"/>
  <c r="Z32"/>
  <c r="AO30"/>
  <c r="AO32"/>
  <c r="AO451"/>
  <c r="AP30"/>
  <c r="AP32"/>
  <c r="AP451"/>
  <c r="AE24"/>
  <c r="AF24"/>
  <c r="AC24"/>
  <c r="AD24"/>
  <c r="AX24"/>
  <c r="AM18"/>
  <c r="AT18"/>
  <c r="AT252"/>
  <c r="AM252"/>
  <c r="AN252"/>
  <c r="AU252"/>
  <c r="AU254"/>
  <c r="AU259"/>
  <c r="AU459"/>
  <c r="AS214"/>
  <c r="AS215"/>
  <c r="AS457"/>
  <c r="R183"/>
  <c r="Z177"/>
  <c r="AL177"/>
  <c r="AW177"/>
  <c r="AW183"/>
  <c r="AK177"/>
  <c r="P447"/>
  <c r="AU145"/>
  <c r="AN145"/>
  <c r="AT143"/>
  <c r="AM143"/>
  <c r="AE62"/>
  <c r="AF62"/>
  <c r="AC62"/>
  <c r="AD62"/>
  <c r="AM15"/>
  <c r="AT15"/>
  <c r="AE44"/>
  <c r="AF44"/>
  <c r="AC44"/>
  <c r="AD44"/>
  <c r="AX44"/>
  <c r="AU53"/>
  <c r="AN53"/>
  <c r="AA46"/>
  <c r="AQ38"/>
  <c r="AQ46"/>
  <c r="AQ452"/>
  <c r="AH32"/>
  <c r="AH451"/>
  <c r="AT56"/>
  <c r="AM56"/>
  <c r="AX39"/>
  <c r="AE39"/>
  <c r="AF39"/>
  <c r="AC39"/>
  <c r="AD39"/>
  <c r="AF434"/>
  <c r="AC434"/>
  <c r="AD434"/>
  <c r="AH434"/>
  <c r="AH435"/>
  <c r="AH441"/>
  <c r="AN420"/>
  <c r="AU420"/>
  <c r="AF355"/>
  <c r="AC355"/>
  <c r="AD355"/>
  <c r="AP402"/>
  <c r="AP412"/>
  <c r="Z412"/>
  <c r="AO402"/>
  <c r="AO412"/>
  <c r="AT351"/>
  <c r="AM351"/>
  <c r="AM397"/>
  <c r="AT397"/>
  <c r="AM330"/>
  <c r="AT330"/>
  <c r="AN323"/>
  <c r="AU323"/>
  <c r="AU331"/>
  <c r="AN331"/>
  <c r="AR256"/>
  <c r="AR258"/>
  <c r="AR259"/>
  <c r="AR459"/>
  <c r="W258"/>
  <c r="W259"/>
  <c r="AB256"/>
  <c r="AS256"/>
  <c r="AS258"/>
  <c r="AS259"/>
  <c r="AS459"/>
  <c r="AN218"/>
  <c r="AU218"/>
  <c r="AU221"/>
  <c r="AL221"/>
  <c r="AO220"/>
  <c r="AP220"/>
  <c r="AP221"/>
  <c r="AB220"/>
  <c r="AB221"/>
  <c r="AT166"/>
  <c r="AM166"/>
  <c r="AE189"/>
  <c r="AF189"/>
  <c r="AC189"/>
  <c r="AD189"/>
  <c r="AU156"/>
  <c r="AN156"/>
  <c r="AN123"/>
  <c r="AL136"/>
  <c r="AU123"/>
  <c r="AN445"/>
  <c r="AU445"/>
  <c r="Z421"/>
  <c r="AP414"/>
  <c r="AO414"/>
  <c r="AF396"/>
  <c r="AC396"/>
  <c r="AD396"/>
  <c r="AE362"/>
  <c r="AF362"/>
  <c r="AC362"/>
  <c r="AD362"/>
  <c r="AH340"/>
  <c r="AA335"/>
  <c r="AS296"/>
  <c r="AR296"/>
  <c r="AP326"/>
  <c r="AO326"/>
  <c r="AN317"/>
  <c r="AU317"/>
  <c r="AP347"/>
  <c r="AP348"/>
  <c r="AO347"/>
  <c r="AO348"/>
  <c r="AB296"/>
  <c r="AO331"/>
  <c r="AP331"/>
  <c r="AM331"/>
  <c r="AT331"/>
  <c r="AR299"/>
  <c r="AS299"/>
  <c r="AU299"/>
  <c r="AN299"/>
  <c r="AN294"/>
  <c r="AL300"/>
  <c r="AU294"/>
  <c r="AA277"/>
  <c r="AN277"/>
  <c r="AL285"/>
  <c r="AU277"/>
  <c r="AN273"/>
  <c r="AU273"/>
  <c r="R259"/>
  <c r="AK240"/>
  <c r="AK458"/>
  <c r="AJ475"/>
  <c r="AJ464"/>
  <c r="AG462"/>
  <c r="AG369"/>
  <c r="AG474"/>
  <c r="AL321"/>
  <c r="AW321"/>
  <c r="AW333"/>
  <c r="AK321"/>
  <c r="Z321"/>
  <c r="AB321"/>
  <c r="R333"/>
  <c r="AN298"/>
  <c r="AU298"/>
  <c r="AT285"/>
  <c r="AF273"/>
  <c r="AC273"/>
  <c r="AD273"/>
  <c r="AN268"/>
  <c r="AU268"/>
  <c r="AM264"/>
  <c r="AT264"/>
  <c r="AP313"/>
  <c r="AO313"/>
  <c r="AP291"/>
  <c r="AO291"/>
  <c r="AA287"/>
  <c r="AO274"/>
  <c r="AH274"/>
  <c r="AB274"/>
  <c r="AP274"/>
  <c r="AF268"/>
  <c r="AC268"/>
  <c r="AD268"/>
  <c r="AK231"/>
  <c r="AT223"/>
  <c r="AM223"/>
  <c r="AG341"/>
  <c r="AG461"/>
  <c r="AT269"/>
  <c r="AM269"/>
  <c r="AN210"/>
  <c r="AU210"/>
  <c r="AU214"/>
  <c r="AP178"/>
  <c r="AO178"/>
  <c r="AB178"/>
  <c r="R191"/>
  <c r="W170"/>
  <c r="W171"/>
  <c r="AS165"/>
  <c r="AS170"/>
  <c r="AS171"/>
  <c r="AR165"/>
  <c r="AR170"/>
  <c r="AB165"/>
  <c r="AK153"/>
  <c r="R163"/>
  <c r="AW153"/>
  <c r="AW163"/>
  <c r="AL153"/>
  <c r="Z153"/>
  <c r="AH153"/>
  <c r="AU322"/>
  <c r="AN322"/>
  <c r="AP282"/>
  <c r="AO282"/>
  <c r="AT280"/>
  <c r="AM280"/>
  <c r="AM285"/>
  <c r="AN280"/>
  <c r="AU280"/>
  <c r="AO221"/>
  <c r="AR189"/>
  <c r="AS189"/>
  <c r="AO311"/>
  <c r="AP311"/>
  <c r="AH311"/>
  <c r="AA311"/>
  <c r="AB311"/>
  <c r="AP248"/>
  <c r="AO248"/>
  <c r="Z254"/>
  <c r="AW254"/>
  <c r="AW259"/>
  <c r="AW459"/>
  <c r="AL231"/>
  <c r="AT227"/>
  <c r="AM227"/>
  <c r="AQ209"/>
  <c r="AQ214"/>
  <c r="AA214"/>
  <c r="AQ203"/>
  <c r="AB203"/>
  <c r="AW215"/>
  <c r="AW457"/>
  <c r="AP160"/>
  <c r="AB160"/>
  <c r="AO160"/>
  <c r="AM146"/>
  <c r="AT146"/>
  <c r="AN185"/>
  <c r="AU185"/>
  <c r="AM181"/>
  <c r="AT181"/>
  <c r="AO180"/>
  <c r="AP180"/>
  <c r="AT162"/>
  <c r="AM162"/>
  <c r="AN162"/>
  <c r="AU162"/>
  <c r="AM159"/>
  <c r="AT159"/>
  <c r="AU147"/>
  <c r="AN147"/>
  <c r="AU133"/>
  <c r="AN133"/>
  <c r="AN131"/>
  <c r="AU131"/>
  <c r="AN129"/>
  <c r="AU129"/>
  <c r="AN127"/>
  <c r="AU127"/>
  <c r="AN125"/>
  <c r="AU125"/>
  <c r="AO116"/>
  <c r="AP116"/>
  <c r="AB116"/>
  <c r="AU113"/>
  <c r="AN113"/>
  <c r="AO111"/>
  <c r="AP111"/>
  <c r="AB111"/>
  <c r="AF106"/>
  <c r="AC106"/>
  <c r="AD106"/>
  <c r="AF104"/>
  <c r="AC104"/>
  <c r="AD104"/>
  <c r="AE72"/>
  <c r="AF72"/>
  <c r="AC72"/>
  <c r="AD72"/>
  <c r="AE70"/>
  <c r="AF70"/>
  <c r="AC70"/>
  <c r="AD70"/>
  <c r="AE58"/>
  <c r="AF58"/>
  <c r="AC58"/>
  <c r="AD58"/>
  <c r="AT54"/>
  <c r="AM54"/>
  <c r="AT41"/>
  <c r="AM41"/>
  <c r="AU29"/>
  <c r="AU32"/>
  <c r="AU451"/>
  <c r="AL32"/>
  <c r="AL451"/>
  <c r="AN29"/>
  <c r="AE41"/>
  <c r="AF41"/>
  <c r="AC41"/>
  <c r="AD41"/>
  <c r="AX41"/>
  <c r="AB25"/>
  <c r="AW275"/>
  <c r="AW307"/>
  <c r="AW460"/>
  <c r="AT238"/>
  <c r="AM238"/>
  <c r="AC194"/>
  <c r="AC196"/>
  <c r="AF196"/>
  <c r="AP158"/>
  <c r="AO158"/>
  <c r="AB158"/>
  <c r="AT154"/>
  <c r="AM154"/>
  <c r="AP150"/>
  <c r="AO150"/>
  <c r="AF133"/>
  <c r="AC133"/>
  <c r="AD133"/>
  <c r="AH120"/>
  <c r="AO113"/>
  <c r="AP113"/>
  <c r="AH113"/>
  <c r="AE81"/>
  <c r="AF81"/>
  <c r="AC81"/>
  <c r="AD81"/>
  <c r="AU38"/>
  <c r="AL46"/>
  <c r="AL452"/>
  <c r="AN38"/>
  <c r="AH282"/>
  <c r="AA282"/>
  <c r="AO224"/>
  <c r="AO231"/>
  <c r="AP224"/>
  <c r="AL214"/>
  <c r="AH181"/>
  <c r="AU157"/>
  <c r="AN157"/>
  <c r="AU150"/>
  <c r="AN150"/>
  <c r="AW141"/>
  <c r="AK141"/>
  <c r="AP134"/>
  <c r="AO134"/>
  <c r="AQ126"/>
  <c r="AB126"/>
  <c r="AV472"/>
  <c r="AV478"/>
  <c r="AV454"/>
  <c r="AV469"/>
  <c r="AM119"/>
  <c r="AT119"/>
  <c r="AM112"/>
  <c r="AT112"/>
  <c r="AN108"/>
  <c r="AU108"/>
  <c r="AM101"/>
  <c r="AT101"/>
  <c r="AU92"/>
  <c r="AN92"/>
  <c r="AU88"/>
  <c r="AN88"/>
  <c r="AU84"/>
  <c r="AN84"/>
  <c r="AE80"/>
  <c r="AF80"/>
  <c r="AC80"/>
  <c r="AD80"/>
  <c r="AB77"/>
  <c r="AS77"/>
  <c r="AR77"/>
  <c r="AR94"/>
  <c r="AE75"/>
  <c r="AF75"/>
  <c r="AC75"/>
  <c r="AD75"/>
  <c r="AW94"/>
  <c r="AW453"/>
  <c r="AB36"/>
  <c r="AE34"/>
  <c r="AX34"/>
  <c r="AX36"/>
  <c r="AB29"/>
  <c r="AM23"/>
  <c r="AT23"/>
  <c r="AE237"/>
  <c r="AF237"/>
  <c r="AC237"/>
  <c r="AD237"/>
  <c r="AH229"/>
  <c r="AA229"/>
  <c r="Z231"/>
  <c r="Z240"/>
  <c r="W214"/>
  <c r="W215"/>
  <c r="AR188"/>
  <c r="AS188"/>
  <c r="AM145"/>
  <c r="AT145"/>
  <c r="AP145"/>
  <c r="AO145"/>
  <c r="AP143"/>
  <c r="AO143"/>
  <c r="AM118"/>
  <c r="AT118"/>
  <c r="AU117"/>
  <c r="AN117"/>
  <c r="AH107"/>
  <c r="AA107"/>
  <c r="AB107"/>
  <c r="AF100"/>
  <c r="AC100"/>
  <c r="AD100"/>
  <c r="AE42"/>
  <c r="AF42"/>
  <c r="AC42"/>
  <c r="AD42"/>
  <c r="AX42"/>
  <c r="AB17"/>
  <c r="AH111"/>
  <c r="AN56"/>
  <c r="AU56"/>
  <c r="AE54"/>
  <c r="AF54"/>
  <c r="AC54"/>
  <c r="AD54"/>
  <c r="AX65"/>
  <c r="AE65"/>
  <c r="AF65"/>
  <c r="AC65"/>
  <c r="AD65"/>
  <c r="AD444"/>
  <c r="AF444"/>
  <c r="AC444"/>
  <c r="AT445"/>
  <c r="AT446"/>
  <c r="AM445"/>
  <c r="AM446"/>
  <c r="AF395"/>
  <c r="AC395"/>
  <c r="AD395"/>
  <c r="AP380"/>
  <c r="AO380"/>
  <c r="AM441"/>
  <c r="Z375"/>
  <c r="Z387"/>
  <c r="AP373"/>
  <c r="AO373"/>
  <c r="AT360"/>
  <c r="AM360"/>
  <c r="AN360"/>
  <c r="AU360"/>
  <c r="AN339"/>
  <c r="AU339"/>
  <c r="AN338"/>
  <c r="AU338"/>
  <c r="AN337"/>
  <c r="AU337"/>
  <c r="AN336"/>
  <c r="AU336"/>
  <c r="AF328"/>
  <c r="AC328"/>
  <c r="AD328"/>
  <c r="AP317"/>
  <c r="AO317"/>
  <c r="AK292"/>
  <c r="AM287"/>
  <c r="AM292"/>
  <c r="AT287"/>
  <c r="AT292"/>
  <c r="AN318"/>
  <c r="AU318"/>
  <c r="AU305"/>
  <c r="AU306"/>
  <c r="AN305"/>
  <c r="AN306"/>
  <c r="AA345"/>
  <c r="AH300"/>
  <c r="AA294"/>
  <c r="AF272"/>
  <c r="AC272"/>
  <c r="AD272"/>
  <c r="AP265"/>
  <c r="AO265"/>
  <c r="AS236"/>
  <c r="AR236"/>
  <c r="AR298"/>
  <c r="AS298"/>
  <c r="AM378"/>
  <c r="AT378"/>
  <c r="AD316"/>
  <c r="AU279"/>
  <c r="AN279"/>
  <c r="AM267"/>
  <c r="AT267"/>
  <c r="AP204"/>
  <c r="AO204"/>
  <c r="AO322"/>
  <c r="AP322"/>
  <c r="AR212"/>
  <c r="AS212"/>
  <c r="AP206"/>
  <c r="AO206"/>
  <c r="AQ201"/>
  <c r="AB201"/>
  <c r="AM169"/>
  <c r="AM170"/>
  <c r="AT169"/>
  <c r="Z446"/>
  <c r="AO443"/>
  <c r="AO446"/>
  <c r="AP443"/>
  <c r="AV476"/>
  <c r="AV467"/>
  <c r="AF435"/>
  <c r="AC433"/>
  <c r="AU434"/>
  <c r="AU435"/>
  <c r="AU441"/>
  <c r="AN434"/>
  <c r="AN435"/>
  <c r="AN441"/>
  <c r="AF415"/>
  <c r="AC415"/>
  <c r="AD415"/>
  <c r="AB418"/>
  <c r="AG468"/>
  <c r="AG477"/>
  <c r="AD419"/>
  <c r="AU381"/>
  <c r="AN381"/>
  <c r="AW383"/>
  <c r="AO367"/>
  <c r="AO368"/>
  <c r="AO463"/>
  <c r="Z368"/>
  <c r="Z369"/>
  <c r="AP367"/>
  <c r="AP368"/>
  <c r="AP463"/>
  <c r="AM394"/>
  <c r="AM398"/>
  <c r="AF382"/>
  <c r="AC382"/>
  <c r="AD382"/>
  <c r="AH380"/>
  <c r="AK446"/>
  <c r="AO374"/>
  <c r="AH374"/>
  <c r="AB374"/>
  <c r="AP374"/>
  <c r="AW340"/>
  <c r="AP314"/>
  <c r="AO314"/>
  <c r="AB314"/>
  <c r="AP354"/>
  <c r="AO354"/>
  <c r="AO328"/>
  <c r="AP328"/>
  <c r="AH328"/>
  <c r="T475"/>
  <c r="T464"/>
  <c r="T469"/>
  <c r="AW363"/>
  <c r="AN332"/>
  <c r="AU332"/>
  <c r="AO324"/>
  <c r="AH324"/>
  <c r="AB324"/>
  <c r="AP324"/>
  <c r="AD270"/>
  <c r="AP288"/>
  <c r="Z292"/>
  <c r="AO288"/>
  <c r="AO292"/>
  <c r="AS468"/>
  <c r="AS477"/>
  <c r="AB435"/>
  <c r="AU444"/>
  <c r="AU446"/>
  <c r="AN444"/>
  <c r="AN446"/>
  <c r="AD439"/>
  <c r="AR476"/>
  <c r="AR467"/>
  <c r="AB445"/>
  <c r="AL435"/>
  <c r="AL441"/>
  <c r="AF410"/>
  <c r="AC410"/>
  <c r="AD410"/>
  <c r="AL446"/>
  <c r="AP420"/>
  <c r="AO420"/>
  <c r="AH418"/>
  <c r="AA418"/>
  <c r="AQ418"/>
  <c r="AP416"/>
  <c r="AO416"/>
  <c r="AN414"/>
  <c r="AU414"/>
  <c r="AP411"/>
  <c r="AO411"/>
  <c r="AH402"/>
  <c r="AH440"/>
  <c r="AA437"/>
  <c r="AN382"/>
  <c r="AU382"/>
  <c r="AB381"/>
  <c r="AH363"/>
  <c r="AA358"/>
  <c r="AB358"/>
  <c r="AK467"/>
  <c r="AK476"/>
  <c r="AW398"/>
  <c r="AB380"/>
  <c r="AG475"/>
  <c r="AG464"/>
  <c r="AF438"/>
  <c r="AC438"/>
  <c r="AD438"/>
  <c r="AB424"/>
  <c r="AP397"/>
  <c r="AO397"/>
  <c r="AH373"/>
  <c r="AB351"/>
  <c r="AI475"/>
  <c r="AI464"/>
  <c r="AW375"/>
  <c r="AR360"/>
  <c r="AS360"/>
  <c r="AR339"/>
  <c r="AS339"/>
  <c r="AR338"/>
  <c r="AS338"/>
  <c r="AR337"/>
  <c r="AS337"/>
  <c r="AR336"/>
  <c r="AS336"/>
  <c r="AR335"/>
  <c r="AR340"/>
  <c r="AR341"/>
  <c r="AR461"/>
  <c r="W340"/>
  <c r="W341"/>
  <c r="AS335"/>
  <c r="AU328"/>
  <c r="AN328"/>
  <c r="AO315"/>
  <c r="AP315"/>
  <c r="AR359"/>
  <c r="AS359"/>
  <c r="AU359"/>
  <c r="AN359"/>
  <c r="AT354"/>
  <c r="AM354"/>
  <c r="AM328"/>
  <c r="AT328"/>
  <c r="AP327"/>
  <c r="AO327"/>
  <c r="AN326"/>
  <c r="AU326"/>
  <c r="AP318"/>
  <c r="AO318"/>
  <c r="AB317"/>
  <c r="AH312"/>
  <c r="AA312"/>
  <c r="AB312"/>
  <c r="AK363"/>
  <c r="AT358"/>
  <c r="AM358"/>
  <c r="AH354"/>
  <c r="AA354"/>
  <c r="AQ354"/>
  <c r="AH347"/>
  <c r="AA347"/>
  <c r="AN347"/>
  <c r="AN348"/>
  <c r="AU347"/>
  <c r="AL348"/>
  <c r="AD332"/>
  <c r="AF325"/>
  <c r="AC325"/>
  <c r="AD325"/>
  <c r="AB305"/>
  <c r="AS305"/>
  <c r="AS306"/>
  <c r="AR305"/>
  <c r="AR306"/>
  <c r="AE303"/>
  <c r="AF303"/>
  <c r="AC303"/>
  <c r="AD303"/>
  <c r="AB331"/>
  <c r="AB299"/>
  <c r="AN288"/>
  <c r="AU288"/>
  <c r="AU292"/>
  <c r="AU272"/>
  <c r="AN272"/>
  <c r="AH265"/>
  <c r="AA265"/>
  <c r="AB265"/>
  <c r="AO250"/>
  <c r="AP250"/>
  <c r="AF243"/>
  <c r="AC243"/>
  <c r="AD243"/>
  <c r="AE234"/>
  <c r="AF234"/>
  <c r="AC234"/>
  <c r="AD234"/>
  <c r="AA306"/>
  <c r="AB302"/>
  <c r="AQ302"/>
  <c r="AQ306"/>
  <c r="AB298"/>
  <c r="AO378"/>
  <c r="AP378"/>
  <c r="AH378"/>
  <c r="AA378"/>
  <c r="AU383"/>
  <c r="AH367"/>
  <c r="AH313"/>
  <c r="AH291"/>
  <c r="AA291"/>
  <c r="AN291"/>
  <c r="AU291"/>
  <c r="AQ278"/>
  <c r="AB278"/>
  <c r="AO263"/>
  <c r="AH263"/>
  <c r="AB263"/>
  <c r="AP263"/>
  <c r="AT256"/>
  <c r="AK258"/>
  <c r="AM256"/>
  <c r="AF249"/>
  <c r="AC249"/>
  <c r="AD249"/>
  <c r="AU243"/>
  <c r="AW243"/>
  <c r="AN243"/>
  <c r="AB236"/>
  <c r="AF225"/>
  <c r="AC225"/>
  <c r="AD225"/>
  <c r="AJ462"/>
  <c r="AJ369"/>
  <c r="AJ474"/>
  <c r="AL292"/>
  <c r="AB281"/>
  <c r="AD269"/>
  <c r="AN231"/>
  <c r="AM220"/>
  <c r="AT220"/>
  <c r="AT221"/>
  <c r="AE213"/>
  <c r="AF213"/>
  <c r="AC213"/>
  <c r="AD213"/>
  <c r="AB210"/>
  <c r="AH204"/>
  <c r="AA204"/>
  <c r="AQ204"/>
  <c r="AO179"/>
  <c r="AP179"/>
  <c r="AB179"/>
  <c r="AT156"/>
  <c r="AM156"/>
  <c r="AH322"/>
  <c r="AH315"/>
  <c r="AA315"/>
  <c r="AQ315"/>
  <c r="AN282"/>
  <c r="AU282"/>
  <c r="AB280"/>
  <c r="AN189"/>
  <c r="AU189"/>
  <c r="T473"/>
  <c r="AP156"/>
  <c r="AO156"/>
  <c r="AB156"/>
  <c r="AB248"/>
  <c r="AF226"/>
  <c r="AC226"/>
  <c r="AD226"/>
  <c r="AU205"/>
  <c r="AN205"/>
  <c r="AP199"/>
  <c r="AO199"/>
  <c r="AD195"/>
  <c r="AN194"/>
  <c r="AN196"/>
  <c r="AU194"/>
  <c r="AU196"/>
  <c r="AL196"/>
  <c r="AE167"/>
  <c r="AF167"/>
  <c r="AC167"/>
  <c r="AD167"/>
  <c r="AU160"/>
  <c r="AN160"/>
  <c r="AD109"/>
  <c r="AH266"/>
  <c r="AR185"/>
  <c r="AS185"/>
  <c r="AB185"/>
  <c r="AU181"/>
  <c r="AN181"/>
  <c r="AH159"/>
  <c r="AA159"/>
  <c r="AQ159"/>
  <c r="AA151"/>
  <c r="AB131"/>
  <c r="AB129"/>
  <c r="AB127"/>
  <c r="AB125"/>
  <c r="AP123"/>
  <c r="Z136"/>
  <c r="AO123"/>
  <c r="AB113"/>
  <c r="AM111"/>
  <c r="AT111"/>
  <c r="AD97"/>
  <c r="AE61"/>
  <c r="AF61"/>
  <c r="AC61"/>
  <c r="AD61"/>
  <c r="AM57"/>
  <c r="AT57"/>
  <c r="AM43"/>
  <c r="AT43"/>
  <c r="AB66"/>
  <c r="AQ23"/>
  <c r="AB23"/>
  <c r="R307"/>
  <c r="Z275"/>
  <c r="AO262"/>
  <c r="AO275"/>
  <c r="AP262"/>
  <c r="AN238"/>
  <c r="AU238"/>
  <c r="AU239"/>
  <c r="AM229"/>
  <c r="AT229"/>
  <c r="AT188"/>
  <c r="AM188"/>
  <c r="AH178"/>
  <c r="AM158"/>
  <c r="AT158"/>
  <c r="AN154"/>
  <c r="AU154"/>
  <c r="AH150"/>
  <c r="AT136"/>
  <c r="AM113"/>
  <c r="AT113"/>
  <c r="AP102"/>
  <c r="AO102"/>
  <c r="AG137"/>
  <c r="AU66"/>
  <c r="AN66"/>
  <c r="AU50"/>
  <c r="AN50"/>
  <c r="S447"/>
  <c r="AF228"/>
  <c r="AC228"/>
  <c r="AD228"/>
  <c r="AB224"/>
  <c r="AH147"/>
  <c r="AR171"/>
  <c r="AP135"/>
  <c r="AO135"/>
  <c r="AQ128"/>
  <c r="AB128"/>
  <c r="AV487"/>
  <c r="AO119"/>
  <c r="AH119"/>
  <c r="AB119"/>
  <c r="AP119"/>
  <c r="AB114"/>
  <c r="AP106"/>
  <c r="AO106"/>
  <c r="AN100"/>
  <c r="AU100"/>
  <c r="AL121"/>
  <c r="AK121"/>
  <c r="AK137"/>
  <c r="AU91"/>
  <c r="AN91"/>
  <c r="AU87"/>
  <c r="AN87"/>
  <c r="AU77"/>
  <c r="AN77"/>
  <c r="AN55"/>
  <c r="AU55"/>
  <c r="AX45"/>
  <c r="AE45"/>
  <c r="AF45"/>
  <c r="AC45"/>
  <c r="AD45"/>
  <c r="AW46"/>
  <c r="AW452"/>
  <c r="AB252"/>
  <c r="AH227"/>
  <c r="AA227"/>
  <c r="AQ227"/>
  <c r="AU188"/>
  <c r="AN188"/>
  <c r="AL186"/>
  <c r="W186"/>
  <c r="AW186"/>
  <c r="AW190"/>
  <c r="AB186"/>
  <c r="AK186"/>
  <c r="AF144"/>
  <c r="AC144"/>
  <c r="AD144"/>
  <c r="AU143"/>
  <c r="AN143"/>
  <c r="AN135"/>
  <c r="AU135"/>
  <c r="S472"/>
  <c r="S478"/>
  <c r="S454"/>
  <c r="S469"/>
  <c r="AO118"/>
  <c r="AP118"/>
  <c r="AN106"/>
  <c r="AU106"/>
  <c r="AK94"/>
  <c r="AK453"/>
  <c r="AM17"/>
  <c r="AT17"/>
  <c r="AT481"/>
  <c r="AE53"/>
  <c r="AF53"/>
  <c r="AC53"/>
  <c r="AD53"/>
  <c r="AE31"/>
  <c r="AF31"/>
  <c r="AC31"/>
  <c r="AD31"/>
  <c r="AE56"/>
  <c r="AF56"/>
  <c r="AC56"/>
  <c r="AD56"/>
  <c r="G13"/>
  <c r="N12"/>
  <c r="G16"/>
  <c r="AJ12"/>
  <c r="AI12"/>
  <c r="AF406"/>
  <c r="AC406"/>
  <c r="AD406"/>
  <c r="AB141"/>
  <c r="AF141"/>
  <c r="AD360"/>
  <c r="AF134"/>
  <c r="AC134"/>
  <c r="AD134"/>
  <c r="AH275"/>
  <c r="AO398"/>
  <c r="AB175"/>
  <c r="AF174"/>
  <c r="AT335"/>
  <c r="AT340"/>
  <c r="AK340"/>
  <c r="AM335"/>
  <c r="AM340"/>
  <c r="AE385"/>
  <c r="AB386"/>
  <c r="AL137"/>
  <c r="AL454"/>
  <c r="AP121"/>
  <c r="AT258"/>
  <c r="AN383"/>
  <c r="AN387"/>
  <c r="AF161"/>
  <c r="AC161"/>
  <c r="AD161"/>
  <c r="AU121"/>
  <c r="AT121"/>
  <c r="AT137"/>
  <c r="AM363"/>
  <c r="AS340"/>
  <c r="AS341"/>
  <c r="AS461"/>
  <c r="AK398"/>
  <c r="AD155"/>
  <c r="AL141"/>
  <c r="AL151"/>
  <c r="AL171"/>
  <c r="AN300"/>
  <c r="AB46"/>
  <c r="AB452"/>
  <c r="AB132"/>
  <c r="AF132"/>
  <c r="AC132"/>
  <c r="AD132"/>
  <c r="AQ94"/>
  <c r="AQ453"/>
  <c r="AP285"/>
  <c r="AS454"/>
  <c r="AU170"/>
  <c r="AM306"/>
  <c r="AE360"/>
  <c r="AF360"/>
  <c r="AC360"/>
  <c r="AJ455"/>
  <c r="AH254"/>
  <c r="AH259"/>
  <c r="AH459"/>
  <c r="AE361"/>
  <c r="AF361"/>
  <c r="AC361"/>
  <c r="AD361"/>
  <c r="AB230"/>
  <c r="AF230"/>
  <c r="AC230"/>
  <c r="AD230"/>
  <c r="AQ253"/>
  <c r="AB253"/>
  <c r="AA121"/>
  <c r="AT254"/>
  <c r="AT259"/>
  <c r="AT459"/>
  <c r="AA386"/>
  <c r="AQ385"/>
  <c r="AQ386"/>
  <c r="AW485"/>
  <c r="S534"/>
  <c r="AH141"/>
  <c r="AH151"/>
  <c r="AM221"/>
  <c r="Z141"/>
  <c r="AN32"/>
  <c r="AN451"/>
  <c r="AN214"/>
  <c r="AN221"/>
  <c r="AO121"/>
  <c r="AL387"/>
  <c r="AB315"/>
  <c r="AF315"/>
  <c r="AC315"/>
  <c r="AD315"/>
  <c r="AQ99"/>
  <c r="AQ121"/>
  <c r="AB99"/>
  <c r="AF99"/>
  <c r="AC99"/>
  <c r="AD99"/>
  <c r="AG447"/>
  <c r="T478"/>
  <c r="AM258"/>
  <c r="AN292"/>
  <c r="AT363"/>
  <c r="AW387"/>
  <c r="AW475"/>
  <c r="AH375"/>
  <c r="AP375"/>
  <c r="AS94"/>
  <c r="AS453"/>
  <c r="R151"/>
  <c r="R171"/>
  <c r="AP231"/>
  <c r="AN46"/>
  <c r="AN452"/>
  <c r="AO254"/>
  <c r="AB202"/>
  <c r="AT170"/>
  <c r="AL240"/>
  <c r="AL458"/>
  <c r="AT300"/>
  <c r="AU387"/>
  <c r="AU464"/>
  <c r="AW399"/>
  <c r="AW465"/>
  <c r="AT306"/>
  <c r="AB250"/>
  <c r="AU467"/>
  <c r="AU476"/>
  <c r="AS471"/>
  <c r="AB392"/>
  <c r="AF390"/>
  <c r="AF312"/>
  <c r="AC312"/>
  <c r="AD312"/>
  <c r="AN477"/>
  <c r="AN468"/>
  <c r="AF107"/>
  <c r="AC107"/>
  <c r="AD107"/>
  <c r="AB333"/>
  <c r="AF321"/>
  <c r="AF148"/>
  <c r="AC148"/>
  <c r="AD148"/>
  <c r="AF265"/>
  <c r="AC265"/>
  <c r="AD265"/>
  <c r="AU477"/>
  <c r="AU468"/>
  <c r="AS455"/>
  <c r="AB363"/>
  <c r="AE358"/>
  <c r="AM477"/>
  <c r="AM468"/>
  <c r="AR453"/>
  <c r="AR471"/>
  <c r="AP240"/>
  <c r="AP458"/>
  <c r="AF114"/>
  <c r="AC114"/>
  <c r="AD114"/>
  <c r="AR190"/>
  <c r="AR191"/>
  <c r="AR456"/>
  <c r="AE236"/>
  <c r="AF236"/>
  <c r="AC236"/>
  <c r="AD236"/>
  <c r="AF278"/>
  <c r="AC278"/>
  <c r="AD278"/>
  <c r="AE298"/>
  <c r="AF298"/>
  <c r="AC298"/>
  <c r="AD298"/>
  <c r="AF317"/>
  <c r="AC317"/>
  <c r="AD317"/>
  <c r="AW464"/>
  <c r="AF380"/>
  <c r="AC380"/>
  <c r="AD380"/>
  <c r="AA440"/>
  <c r="AA441"/>
  <c r="AQ437"/>
  <c r="AQ440"/>
  <c r="AQ441"/>
  <c r="AB437"/>
  <c r="AF374"/>
  <c r="AC374"/>
  <c r="AD374"/>
  <c r="AN476"/>
  <c r="AN467"/>
  <c r="AO468"/>
  <c r="AO477"/>
  <c r="AH383"/>
  <c r="AH387"/>
  <c r="AW462"/>
  <c r="AW369"/>
  <c r="AW474"/>
  <c r="AM467"/>
  <c r="AM476"/>
  <c r="AT468"/>
  <c r="AT477"/>
  <c r="AQ229"/>
  <c r="AB229"/>
  <c r="AE36"/>
  <c r="AF34"/>
  <c r="AK151"/>
  <c r="AT141"/>
  <c r="AM141"/>
  <c r="AW480"/>
  <c r="AW151"/>
  <c r="AF158"/>
  <c r="AC158"/>
  <c r="AD158"/>
  <c r="AF160"/>
  <c r="AC160"/>
  <c r="AD160"/>
  <c r="AF274"/>
  <c r="AC274"/>
  <c r="AD274"/>
  <c r="AA292"/>
  <c r="AQ287"/>
  <c r="AB287"/>
  <c r="AT321"/>
  <c r="AT333"/>
  <c r="AK333"/>
  <c r="AM321"/>
  <c r="AM333"/>
  <c r="AA285"/>
  <c r="AQ277"/>
  <c r="AB277"/>
  <c r="AQ335"/>
  <c r="AQ340"/>
  <c r="AA340"/>
  <c r="AN136"/>
  <c r="AN240"/>
  <c r="AN458"/>
  <c r="AU177"/>
  <c r="AU183"/>
  <c r="AL183"/>
  <c r="AN177"/>
  <c r="AN183"/>
  <c r="AF101"/>
  <c r="AC101"/>
  <c r="AD101"/>
  <c r="AK259"/>
  <c r="AK459"/>
  <c r="AC218"/>
  <c r="AA231"/>
  <c r="AQ223"/>
  <c r="AQ231"/>
  <c r="AB223"/>
  <c r="AF279"/>
  <c r="AC279"/>
  <c r="AD279"/>
  <c r="AP350"/>
  <c r="AP356"/>
  <c r="Z356"/>
  <c r="AO350"/>
  <c r="AO356"/>
  <c r="AO364"/>
  <c r="AB246"/>
  <c r="AF244"/>
  <c r="Z319"/>
  <c r="AP310"/>
  <c r="AP319"/>
  <c r="AO310"/>
  <c r="AO319"/>
  <c r="AF377"/>
  <c r="AT476"/>
  <c r="AT467"/>
  <c r="AB22"/>
  <c r="AA27"/>
  <c r="AQ22"/>
  <c r="AQ27"/>
  <c r="AQ450"/>
  <c r="AE83"/>
  <c r="AF83"/>
  <c r="AC83"/>
  <c r="AD83"/>
  <c r="AC262"/>
  <c r="AQ18"/>
  <c r="AQ19"/>
  <c r="AA19"/>
  <c r="AB18"/>
  <c r="AB486"/>
  <c r="AK464"/>
  <c r="AN398"/>
  <c r="AB375"/>
  <c r="AB204"/>
  <c r="R12"/>
  <c r="AF252"/>
  <c r="AC252"/>
  <c r="AD252"/>
  <c r="AN121"/>
  <c r="AF224"/>
  <c r="AC224"/>
  <c r="AD224"/>
  <c r="AN94"/>
  <c r="AN453"/>
  <c r="AG472"/>
  <c r="AG454"/>
  <c r="AG469"/>
  <c r="Z307"/>
  <c r="AB121"/>
  <c r="AO136"/>
  <c r="AO137"/>
  <c r="AF127"/>
  <c r="AC127"/>
  <c r="AD127"/>
  <c r="AB190"/>
  <c r="AE185"/>
  <c r="AB254"/>
  <c r="AF248"/>
  <c r="AF179"/>
  <c r="AC179"/>
  <c r="AD179"/>
  <c r="AE210"/>
  <c r="AF210"/>
  <c r="AC210"/>
  <c r="AD210"/>
  <c r="AF263"/>
  <c r="AC263"/>
  <c r="AD263"/>
  <c r="AD331"/>
  <c r="AF331"/>
  <c r="AC331"/>
  <c r="AQ347"/>
  <c r="AB347"/>
  <c r="AL468"/>
  <c r="AL477"/>
  <c r="AW434"/>
  <c r="AW435"/>
  <c r="AW441"/>
  <c r="AF201"/>
  <c r="AC201"/>
  <c r="AD201"/>
  <c r="AH348"/>
  <c r="AO375"/>
  <c r="AX29"/>
  <c r="AX32"/>
  <c r="AE29"/>
  <c r="AB32"/>
  <c r="AB451"/>
  <c r="Z151"/>
  <c r="AP141"/>
  <c r="AO141"/>
  <c r="AQ282"/>
  <c r="AB282"/>
  <c r="AU46"/>
  <c r="AH121"/>
  <c r="AH137"/>
  <c r="AF111"/>
  <c r="AC111"/>
  <c r="AD111"/>
  <c r="AP254"/>
  <c r="AP259"/>
  <c r="AP459"/>
  <c r="AL163"/>
  <c r="AU153"/>
  <c r="AU163"/>
  <c r="AN153"/>
  <c r="AN163"/>
  <c r="AM153"/>
  <c r="AM163"/>
  <c r="AK163"/>
  <c r="AT153"/>
  <c r="AT163"/>
  <c r="AM231"/>
  <c r="AM240"/>
  <c r="AM458"/>
  <c r="AU285"/>
  <c r="AH285"/>
  <c r="AP364"/>
  <c r="AO177"/>
  <c r="AO183"/>
  <c r="AO191"/>
  <c r="AO456"/>
  <c r="Z183"/>
  <c r="Z191"/>
  <c r="AP177"/>
  <c r="AP183"/>
  <c r="AP191"/>
  <c r="AP456"/>
  <c r="AH177"/>
  <c r="AE46"/>
  <c r="AE452"/>
  <c r="AF38"/>
  <c r="AE472"/>
  <c r="AE454"/>
  <c r="AF112"/>
  <c r="AC112"/>
  <c r="AD112"/>
  <c r="AN275"/>
  <c r="AF30"/>
  <c r="AC30"/>
  <c r="AL207"/>
  <c r="AL215"/>
  <c r="AL457"/>
  <c r="AU198"/>
  <c r="AU207"/>
  <c r="AN198"/>
  <c r="AN207"/>
  <c r="AE297"/>
  <c r="AF297"/>
  <c r="AC297"/>
  <c r="AD297"/>
  <c r="AH350"/>
  <c r="AS239"/>
  <c r="AS240"/>
  <c r="AS458"/>
  <c r="AF266"/>
  <c r="AC266"/>
  <c r="AD266"/>
  <c r="AS300"/>
  <c r="AS307"/>
  <c r="AS460"/>
  <c r="AH310"/>
  <c r="AH319"/>
  <c r="AL430"/>
  <c r="AL466"/>
  <c r="AP383"/>
  <c r="AP387"/>
  <c r="AF409"/>
  <c r="AC409"/>
  <c r="AD409"/>
  <c r="B265"/>
  <c r="B266"/>
  <c r="B268"/>
  <c r="B270"/>
  <c r="B272"/>
  <c r="B273"/>
  <c r="B277"/>
  <c r="B278"/>
  <c r="B279"/>
  <c r="B280"/>
  <c r="B281"/>
  <c r="B282"/>
  <c r="B283"/>
  <c r="B284"/>
  <c r="B288"/>
  <c r="B289"/>
  <c r="B290"/>
  <c r="B291"/>
  <c r="B294"/>
  <c r="B295"/>
  <c r="B296"/>
  <c r="B297"/>
  <c r="B298"/>
  <c r="B299"/>
  <c r="B302"/>
  <c r="B303"/>
  <c r="B304"/>
  <c r="B305"/>
  <c r="B310"/>
  <c r="B311"/>
  <c r="B312"/>
  <c r="B313"/>
  <c r="B314"/>
  <c r="B315"/>
  <c r="B316"/>
  <c r="B317"/>
  <c r="B318"/>
  <c r="B321"/>
  <c r="B322"/>
  <c r="B323"/>
  <c r="B324"/>
  <c r="B325"/>
  <c r="B326"/>
  <c r="B327"/>
  <c r="B328"/>
  <c r="B329"/>
  <c r="B330"/>
  <c r="B331"/>
  <c r="B332"/>
  <c r="B335"/>
  <c r="B336"/>
  <c r="B337"/>
  <c r="B338"/>
  <c r="B339"/>
  <c r="B347"/>
  <c r="B350"/>
  <c r="B351"/>
  <c r="B352"/>
  <c r="B353"/>
  <c r="B354"/>
  <c r="B355"/>
  <c r="B358"/>
  <c r="B359"/>
  <c r="B360"/>
  <c r="B361"/>
  <c r="B362"/>
  <c r="B367"/>
  <c r="B373"/>
  <c r="B374"/>
  <c r="B377"/>
  <c r="B378"/>
  <c r="B379"/>
  <c r="B380"/>
  <c r="B381"/>
  <c r="B382"/>
  <c r="B385"/>
  <c r="B390"/>
  <c r="B391"/>
  <c r="B394"/>
  <c r="B395"/>
  <c r="B396"/>
  <c r="B397"/>
  <c r="B402"/>
  <c r="B403"/>
  <c r="B404"/>
  <c r="B405"/>
  <c r="B406"/>
  <c r="B407"/>
  <c r="B408"/>
  <c r="B409"/>
  <c r="B410"/>
  <c r="B411"/>
  <c r="B414"/>
  <c r="B415"/>
  <c r="B416"/>
  <c r="B417"/>
  <c r="B418"/>
  <c r="B420"/>
  <c r="B423"/>
  <c r="B424"/>
  <c r="B428"/>
  <c r="B433"/>
  <c r="AT32"/>
  <c r="AT451"/>
  <c r="AF209"/>
  <c r="AM46"/>
  <c r="AM452"/>
  <c r="AF130"/>
  <c r="AC130"/>
  <c r="AD130"/>
  <c r="AK307"/>
  <c r="AK460"/>
  <c r="AB227"/>
  <c r="AE166"/>
  <c r="AF166"/>
  <c r="AC166"/>
  <c r="AD166"/>
  <c r="AU340"/>
  <c r="AM383"/>
  <c r="AM387"/>
  <c r="AU398"/>
  <c r="AB206"/>
  <c r="AB335"/>
  <c r="AA446"/>
  <c r="AQ443"/>
  <c r="AQ446"/>
  <c r="AB443"/>
  <c r="AA421"/>
  <c r="AQ414"/>
  <c r="AB414"/>
  <c r="AF245"/>
  <c r="AC245"/>
  <c r="AD245"/>
  <c r="AB354"/>
  <c r="AF113"/>
  <c r="AC113"/>
  <c r="AD113"/>
  <c r="AE299"/>
  <c r="AF299"/>
  <c r="AC299"/>
  <c r="AD299"/>
  <c r="AD418"/>
  <c r="AF418"/>
  <c r="AC418"/>
  <c r="AR455"/>
  <c r="AL364"/>
  <c r="AH412"/>
  <c r="AA402"/>
  <c r="AT231"/>
  <c r="AT240"/>
  <c r="AT458"/>
  <c r="AU300"/>
  <c r="AE296"/>
  <c r="AF296"/>
  <c r="AC296"/>
  <c r="AD296"/>
  <c r="AP430"/>
  <c r="AP466"/>
  <c r="AU136"/>
  <c r="AB258"/>
  <c r="AE256"/>
  <c r="AO430"/>
  <c r="AO466"/>
  <c r="AH476"/>
  <c r="AH467"/>
  <c r="AM177"/>
  <c r="AM183"/>
  <c r="AT177"/>
  <c r="AT183"/>
  <c r="AK183"/>
  <c r="AX46"/>
  <c r="AF124"/>
  <c r="AC124"/>
  <c r="AD124"/>
  <c r="AU231"/>
  <c r="AU240"/>
  <c r="AU458"/>
  <c r="Z137"/>
  <c r="AU275"/>
  <c r="AF159"/>
  <c r="AC159"/>
  <c r="AD159"/>
  <c r="Z207"/>
  <c r="Z215"/>
  <c r="AO198"/>
  <c r="AO207"/>
  <c r="AO215"/>
  <c r="AO457"/>
  <c r="AP198"/>
  <c r="AP207"/>
  <c r="AP215"/>
  <c r="AP457"/>
  <c r="AH198"/>
  <c r="AU350"/>
  <c r="AU356"/>
  <c r="AU364"/>
  <c r="AL356"/>
  <c r="AN350"/>
  <c r="AN356"/>
  <c r="AO259"/>
  <c r="AO459"/>
  <c r="AO285"/>
  <c r="AO307"/>
  <c r="AO460"/>
  <c r="AR300"/>
  <c r="AR307"/>
  <c r="AR460"/>
  <c r="AS363"/>
  <c r="AS364"/>
  <c r="AB310"/>
  <c r="AL319"/>
  <c r="AU310"/>
  <c r="AU319"/>
  <c r="AN310"/>
  <c r="AN319"/>
  <c r="AF330"/>
  <c r="AC330"/>
  <c r="AD330"/>
  <c r="AI462"/>
  <c r="AI369"/>
  <c r="AI474"/>
  <c r="AL464"/>
  <c r="AT390"/>
  <c r="AT392"/>
  <c r="AK392"/>
  <c r="AK399"/>
  <c r="AK465"/>
  <c r="AM390"/>
  <c r="AM392"/>
  <c r="AM399"/>
  <c r="AM465"/>
  <c r="AU390"/>
  <c r="AU392"/>
  <c r="AU399"/>
  <c r="AU465"/>
  <c r="AL392"/>
  <c r="AL399"/>
  <c r="AL465"/>
  <c r="AN390"/>
  <c r="AN392"/>
  <c r="AP398"/>
  <c r="AO383"/>
  <c r="AM148"/>
  <c r="AT148"/>
  <c r="AB214"/>
  <c r="AT94"/>
  <c r="AT453"/>
  <c r="AE79"/>
  <c r="AF79"/>
  <c r="AC79"/>
  <c r="AD79"/>
  <c r="AG473"/>
  <c r="AT275"/>
  <c r="AT307"/>
  <c r="AT460"/>
  <c r="AB275"/>
  <c r="AN170"/>
  <c r="AU363"/>
  <c r="AF288"/>
  <c r="AC288"/>
  <c r="AD288"/>
  <c r="AF375"/>
  <c r="AC373"/>
  <c r="AH468"/>
  <c r="AH477"/>
  <c r="AA259"/>
  <c r="AF326"/>
  <c r="AC326"/>
  <c r="AD326"/>
  <c r="AE186"/>
  <c r="AF186"/>
  <c r="AC186"/>
  <c r="AD186"/>
  <c r="AH171"/>
  <c r="AE23"/>
  <c r="AF23"/>
  <c r="AC23"/>
  <c r="AD23"/>
  <c r="AX23"/>
  <c r="AD125"/>
  <c r="AF125"/>
  <c r="AC125"/>
  <c r="AU215"/>
  <c r="AU457"/>
  <c r="AQ291"/>
  <c r="AB291"/>
  <c r="AQ378"/>
  <c r="AQ383"/>
  <c r="AQ387"/>
  <c r="AA383"/>
  <c r="AB378"/>
  <c r="AB383"/>
  <c r="AF381"/>
  <c r="AC381"/>
  <c r="AD381"/>
  <c r="AD445"/>
  <c r="AF445"/>
  <c r="AC445"/>
  <c r="AJ13"/>
  <c r="R13"/>
  <c r="AI13"/>
  <c r="N13"/>
  <c r="G14"/>
  <c r="AS186"/>
  <c r="AS190"/>
  <c r="AS191"/>
  <c r="AR186"/>
  <c r="AK472"/>
  <c r="AK454"/>
  <c r="AD119"/>
  <c r="AF119"/>
  <c r="AC119"/>
  <c r="AF128"/>
  <c r="AC128"/>
  <c r="AD128"/>
  <c r="AU94"/>
  <c r="AU453"/>
  <c r="AE66"/>
  <c r="AF66"/>
  <c r="AC66"/>
  <c r="AD66"/>
  <c r="AF129"/>
  <c r="AC129"/>
  <c r="AD129"/>
  <c r="AF311"/>
  <c r="AC311"/>
  <c r="AD311"/>
  <c r="AF280"/>
  <c r="AC280"/>
  <c r="AD280"/>
  <c r="AF281"/>
  <c r="AC281"/>
  <c r="AD281"/>
  <c r="AA367"/>
  <c r="AH368"/>
  <c r="AH463"/>
  <c r="AE302"/>
  <c r="AB306"/>
  <c r="AA275"/>
  <c r="AA307"/>
  <c r="AQ265"/>
  <c r="AQ275"/>
  <c r="AQ358"/>
  <c r="AQ363"/>
  <c r="AA363"/>
  <c r="AF324"/>
  <c r="AC324"/>
  <c r="AD324"/>
  <c r="AA348"/>
  <c r="AQ345"/>
  <c r="AB345"/>
  <c r="AM121"/>
  <c r="AM137"/>
  <c r="AU141"/>
  <c r="AF116"/>
  <c r="AC116"/>
  <c r="AD116"/>
  <c r="AQ311"/>
  <c r="AQ319"/>
  <c r="AQ341"/>
  <c r="AQ461"/>
  <c r="AA319"/>
  <c r="AA341"/>
  <c r="AH163"/>
  <c r="AA153"/>
  <c r="AB170"/>
  <c r="AE165"/>
  <c r="AJ16"/>
  <c r="R16"/>
  <c r="AI16"/>
  <c r="N16"/>
  <c r="G21"/>
  <c r="AT186"/>
  <c r="AT190"/>
  <c r="AT485"/>
  <c r="AM186"/>
  <c r="AM190"/>
  <c r="AU186"/>
  <c r="AU190"/>
  <c r="AN186"/>
  <c r="AN190"/>
  <c r="AL472"/>
  <c r="AW123"/>
  <c r="AW136"/>
  <c r="AP275"/>
  <c r="AP136"/>
  <c r="AP137"/>
  <c r="AF131"/>
  <c r="AC131"/>
  <c r="AD131"/>
  <c r="W190"/>
  <c r="W191"/>
  <c r="W447"/>
  <c r="AD156"/>
  <c r="AF156"/>
  <c r="AC156"/>
  <c r="AE305"/>
  <c r="AF305"/>
  <c r="AC305"/>
  <c r="AD305"/>
  <c r="AD351"/>
  <c r="AF351"/>
  <c r="AC351"/>
  <c r="AX424"/>
  <c r="AX430"/>
  <c r="AE424"/>
  <c r="AB426"/>
  <c r="AN430"/>
  <c r="AN466"/>
  <c r="AL476"/>
  <c r="AL467"/>
  <c r="AP292"/>
  <c r="AF314"/>
  <c r="AC314"/>
  <c r="AD314"/>
  <c r="AK468"/>
  <c r="AK477"/>
  <c r="AT398"/>
  <c r="AC435"/>
  <c r="AD433"/>
  <c r="AD435"/>
  <c r="AP446"/>
  <c r="AQ294"/>
  <c r="AQ300"/>
  <c r="AA300"/>
  <c r="AB294"/>
  <c r="AB481"/>
  <c r="AF17"/>
  <c r="AC17"/>
  <c r="AC481"/>
  <c r="AE77"/>
  <c r="AF77"/>
  <c r="AC77"/>
  <c r="AD77"/>
  <c r="AF126"/>
  <c r="AC126"/>
  <c r="AD126"/>
  <c r="AB480"/>
  <c r="AB151"/>
  <c r="AX25"/>
  <c r="AE25"/>
  <c r="AF25"/>
  <c r="AC25"/>
  <c r="AD25"/>
  <c r="AL190"/>
  <c r="AL191"/>
  <c r="AL456"/>
  <c r="AF203"/>
  <c r="AC203"/>
  <c r="AD203"/>
  <c r="AO240"/>
  <c r="AO458"/>
  <c r="Z163"/>
  <c r="AO153"/>
  <c r="AO163"/>
  <c r="AP153"/>
  <c r="AP163"/>
  <c r="AF178"/>
  <c r="AC178"/>
  <c r="AD178"/>
  <c r="AH292"/>
  <c r="AP321"/>
  <c r="AP333"/>
  <c r="Z333"/>
  <c r="AO321"/>
  <c r="AO333"/>
  <c r="AL333"/>
  <c r="AN321"/>
  <c r="AN333"/>
  <c r="AU321"/>
  <c r="AU333"/>
  <c r="AN285"/>
  <c r="AD220"/>
  <c r="AF220"/>
  <c r="AC220"/>
  <c r="Z430"/>
  <c r="AW191"/>
  <c r="AW456"/>
  <c r="AF105"/>
  <c r="AC105"/>
  <c r="AD105"/>
  <c r="AF145"/>
  <c r="AC145"/>
  <c r="AD145"/>
  <c r="AA190"/>
  <c r="AQ185"/>
  <c r="AQ190"/>
  <c r="AL307"/>
  <c r="AL460"/>
  <c r="AX48"/>
  <c r="AE48"/>
  <c r="AE69"/>
  <c r="AF69"/>
  <c r="AC69"/>
  <c r="AD69"/>
  <c r="AK190"/>
  <c r="AM198"/>
  <c r="AM207"/>
  <c r="AM215"/>
  <c r="AM457"/>
  <c r="AT198"/>
  <c r="AT207"/>
  <c r="AT215"/>
  <c r="AT457"/>
  <c r="AK207"/>
  <c r="AK215"/>
  <c r="AK457"/>
  <c r="AD194"/>
  <c r="AD196"/>
  <c r="AM254"/>
  <c r="AM259"/>
  <c r="AM459"/>
  <c r="AF353"/>
  <c r="AC353"/>
  <c r="AD353"/>
  <c r="AH231"/>
  <c r="AH240"/>
  <c r="AH458"/>
  <c r="AF267"/>
  <c r="AC267"/>
  <c r="AD267"/>
  <c r="AF271"/>
  <c r="AC271"/>
  <c r="AD271"/>
  <c r="AF289"/>
  <c r="AC289"/>
  <c r="AD289"/>
  <c r="AM350"/>
  <c r="AM356"/>
  <c r="AM364"/>
  <c r="AT350"/>
  <c r="AT356"/>
  <c r="AK356"/>
  <c r="AK364"/>
  <c r="AR239"/>
  <c r="AR240"/>
  <c r="AR458"/>
  <c r="Z259"/>
  <c r="AR363"/>
  <c r="AR364"/>
  <c r="AM310"/>
  <c r="AM319"/>
  <c r="AM341"/>
  <c r="AM461"/>
  <c r="AK319"/>
  <c r="AT310"/>
  <c r="AT319"/>
  <c r="AT341"/>
  <c r="AT461"/>
  <c r="AW341"/>
  <c r="AW461"/>
  <c r="AF352"/>
  <c r="AC352"/>
  <c r="AD352"/>
  <c r="AP390"/>
  <c r="AP392"/>
  <c r="AP399"/>
  <c r="AP465"/>
  <c r="Z392"/>
  <c r="Z399"/>
  <c r="AO390"/>
  <c r="AO392"/>
  <c r="AH390"/>
  <c r="AH392"/>
  <c r="AA394"/>
  <c r="AH398"/>
  <c r="AU430"/>
  <c r="AU466"/>
  <c r="AT430"/>
  <c r="AT466"/>
  <c r="AW468"/>
  <c r="AW477"/>
  <c r="AU148"/>
  <c r="AN148"/>
  <c r="AP148"/>
  <c r="AO148"/>
  <c r="AQ233"/>
  <c r="AQ239"/>
  <c r="AA239"/>
  <c r="AB233"/>
  <c r="AT46"/>
  <c r="AT452"/>
  <c r="AM94"/>
  <c r="AM453"/>
  <c r="AM275"/>
  <c r="AM307"/>
  <c r="AM460"/>
  <c r="AH449"/>
  <c r="AH471"/>
  <c r="AQ165"/>
  <c r="AQ170"/>
  <c r="AA170"/>
  <c r="AN363"/>
  <c r="AN340"/>
  <c r="AT383"/>
  <c r="AT387"/>
  <c r="AB429"/>
  <c r="AE428"/>
  <c r="AD205"/>
  <c r="AF205"/>
  <c r="AC205"/>
  <c r="AH321"/>
  <c r="AH333"/>
  <c r="AW486"/>
  <c r="AQ248"/>
  <c r="AQ254"/>
  <c r="AQ259"/>
  <c r="AQ459"/>
  <c r="AA254"/>
  <c r="AA136"/>
  <c r="AA137"/>
  <c r="AQ123"/>
  <c r="AQ136"/>
  <c r="AQ137"/>
  <c r="AB123"/>
  <c r="AK341"/>
  <c r="AK461"/>
  <c r="AP307"/>
  <c r="AP460"/>
  <c r="AU484"/>
  <c r="AF250"/>
  <c r="AC250"/>
  <c r="AD250"/>
  <c r="AH399"/>
  <c r="AH465"/>
  <c r="AU485"/>
  <c r="AF202"/>
  <c r="AC202"/>
  <c r="AD202"/>
  <c r="AA387"/>
  <c r="AN341"/>
  <c r="AN461"/>
  <c r="AN364"/>
  <c r="AN215"/>
  <c r="AN457"/>
  <c r="AD30"/>
  <c r="AT484"/>
  <c r="AA240"/>
  <c r="AE386"/>
  <c r="AE387"/>
  <c r="AE464"/>
  <c r="AF385"/>
  <c r="AF175"/>
  <c r="AC174"/>
  <c r="AT486"/>
  <c r="AN191"/>
  <c r="AN456"/>
  <c r="AN141"/>
  <c r="AO399"/>
  <c r="AO465"/>
  <c r="AT364"/>
  <c r="AT462"/>
  <c r="AD17"/>
  <c r="AN399"/>
  <c r="AN465"/>
  <c r="AU307"/>
  <c r="AU460"/>
  <c r="AN307"/>
  <c r="AN460"/>
  <c r="AH307"/>
  <c r="AH460"/>
  <c r="AF253"/>
  <c r="AC253"/>
  <c r="AD253"/>
  <c r="AT464"/>
  <c r="AN462"/>
  <c r="AN369"/>
  <c r="AN474"/>
  <c r="AH464"/>
  <c r="AP472"/>
  <c r="AP454"/>
  <c r="AS456"/>
  <c r="AS473"/>
  <c r="AS447"/>
  <c r="AO454"/>
  <c r="AO472"/>
  <c r="AU191"/>
  <c r="AU456"/>
  <c r="AD121"/>
  <c r="AU462"/>
  <c r="AU369"/>
  <c r="AU474"/>
  <c r="AM475"/>
  <c r="AM464"/>
  <c r="AP475"/>
  <c r="AP464"/>
  <c r="AK462"/>
  <c r="AK369"/>
  <c r="AK474"/>
  <c r="AB453"/>
  <c r="AB503"/>
  <c r="AJ21"/>
  <c r="AJ27"/>
  <c r="AJ450"/>
  <c r="AI21"/>
  <c r="AI27"/>
  <c r="AI450"/>
  <c r="N21"/>
  <c r="N27"/>
  <c r="G27"/>
  <c r="AF165"/>
  <c r="AE170"/>
  <c r="AE171"/>
  <c r="AM472"/>
  <c r="AM454"/>
  <c r="AO462"/>
  <c r="AO369"/>
  <c r="AO474"/>
  <c r="AK13"/>
  <c r="Z13"/>
  <c r="AW13"/>
  <c r="AB13"/>
  <c r="AL13"/>
  <c r="AC375"/>
  <c r="AD373"/>
  <c r="AD375"/>
  <c r="AL341"/>
  <c r="AL461"/>
  <c r="AA412"/>
  <c r="AA430"/>
  <c r="AQ402"/>
  <c r="AQ412"/>
  <c r="AQ430"/>
  <c r="AQ466"/>
  <c r="AB402"/>
  <c r="AF354"/>
  <c r="AC354"/>
  <c r="AD354"/>
  <c r="AF227"/>
  <c r="AC227"/>
  <c r="AD227"/>
  <c r="AN475"/>
  <c r="AN464"/>
  <c r="AO387"/>
  <c r="AW476"/>
  <c r="AW467"/>
  <c r="AB387"/>
  <c r="AE18"/>
  <c r="AF18"/>
  <c r="AC18"/>
  <c r="AX18"/>
  <c r="AC275"/>
  <c r="AD262"/>
  <c r="AD275"/>
  <c r="Z341"/>
  <c r="AQ285"/>
  <c r="AT480"/>
  <c r="AT151"/>
  <c r="AF229"/>
  <c r="AC229"/>
  <c r="AD229"/>
  <c r="AB440"/>
  <c r="AB441"/>
  <c r="AF437"/>
  <c r="AU137"/>
  <c r="AR462"/>
  <c r="AR369"/>
  <c r="AR474"/>
  <c r="AT369"/>
  <c r="AT474"/>
  <c r="AP468"/>
  <c r="AP477"/>
  <c r="AW484"/>
  <c r="AW137"/>
  <c r="AL473"/>
  <c r="AL455"/>
  <c r="AE306"/>
  <c r="AF302"/>
  <c r="AJ14"/>
  <c r="AJ19"/>
  <c r="AI14"/>
  <c r="AI19"/>
  <c r="R14"/>
  <c r="N14"/>
  <c r="N19"/>
  <c r="AQ464"/>
  <c r="AC121"/>
  <c r="AL475"/>
  <c r="AB319"/>
  <c r="AF310"/>
  <c r="AK191"/>
  <c r="AK456"/>
  <c r="AH430"/>
  <c r="AH466"/>
  <c r="AB340"/>
  <c r="AE335"/>
  <c r="AH341"/>
  <c r="AH461"/>
  <c r="AA177"/>
  <c r="AH183"/>
  <c r="AH191"/>
  <c r="AH472"/>
  <c r="AH454"/>
  <c r="AO151"/>
  <c r="AO171"/>
  <c r="AE32"/>
  <c r="AE451"/>
  <c r="AF29"/>
  <c r="AE22"/>
  <c r="AF22"/>
  <c r="AC22"/>
  <c r="AD22"/>
  <c r="AX22"/>
  <c r="AX27"/>
  <c r="AF383"/>
  <c r="AC377"/>
  <c r="AU475"/>
  <c r="AC244"/>
  <c r="AF246"/>
  <c r="AF221"/>
  <c r="AB292"/>
  <c r="AF287"/>
  <c r="AW171"/>
  <c r="AW483"/>
  <c r="AK171"/>
  <c r="AQ467"/>
  <c r="AQ476"/>
  <c r="AF333"/>
  <c r="AC321"/>
  <c r="B437"/>
  <c r="B439"/>
  <c r="B443"/>
  <c r="B444"/>
  <c r="B445"/>
  <c r="B434"/>
  <c r="AP462"/>
  <c r="AP369"/>
  <c r="AP474"/>
  <c r="AU452"/>
  <c r="AU486"/>
  <c r="AP151"/>
  <c r="AP171"/>
  <c r="AL12"/>
  <c r="AK12"/>
  <c r="Z12"/>
  <c r="R19"/>
  <c r="AW12"/>
  <c r="AK475"/>
  <c r="AQ471"/>
  <c r="AQ449"/>
  <c r="AO341"/>
  <c r="AO461"/>
  <c r="AB259"/>
  <c r="AB459"/>
  <c r="AB231"/>
  <c r="AF223"/>
  <c r="AC221"/>
  <c r="AD218"/>
  <c r="AD221"/>
  <c r="AQ292"/>
  <c r="AF36"/>
  <c r="AC34"/>
  <c r="AR447"/>
  <c r="AT472"/>
  <c r="AT454"/>
  <c r="G19"/>
  <c r="AE429"/>
  <c r="AF428"/>
  <c r="AB136"/>
  <c r="AF123"/>
  <c r="AE233"/>
  <c r="AB239"/>
  <c r="AB485"/>
  <c r="AQ394"/>
  <c r="AQ398"/>
  <c r="AQ399"/>
  <c r="AQ465"/>
  <c r="AA398"/>
  <c r="AA399"/>
  <c r="AB394"/>
  <c r="AM462"/>
  <c r="AM369"/>
  <c r="AM474"/>
  <c r="AE94"/>
  <c r="AE453"/>
  <c r="AF48"/>
  <c r="AF151"/>
  <c r="AC141"/>
  <c r="AB300"/>
  <c r="AE294"/>
  <c r="AA163"/>
  <c r="AA171"/>
  <c r="AQ153"/>
  <c r="AQ163"/>
  <c r="AQ171"/>
  <c r="AB153"/>
  <c r="AU480"/>
  <c r="AU151"/>
  <c r="AB348"/>
  <c r="AF345"/>
  <c r="AF291"/>
  <c r="AC291"/>
  <c r="AD291"/>
  <c r="AH455"/>
  <c r="AS462"/>
  <c r="AS469"/>
  <c r="AS369"/>
  <c r="AS474"/>
  <c r="AT191"/>
  <c r="AT456"/>
  <c r="AL462"/>
  <c r="AL369"/>
  <c r="AL474"/>
  <c r="AB446"/>
  <c r="AF443"/>
  <c r="AD206"/>
  <c r="AF206"/>
  <c r="AC206"/>
  <c r="AF214"/>
  <c r="AC209"/>
  <c r="AQ472"/>
  <c r="AQ454"/>
  <c r="AF121"/>
  <c r="AX482"/>
  <c r="AX94"/>
  <c r="AF424"/>
  <c r="AC424"/>
  <c r="AD424"/>
  <c r="AE430"/>
  <c r="AW16"/>
  <c r="AL16"/>
  <c r="AK16"/>
  <c r="AB16"/>
  <c r="AN151"/>
  <c r="AN171"/>
  <c r="AQ348"/>
  <c r="AA368"/>
  <c r="AQ367"/>
  <c r="AQ368"/>
  <c r="AQ463"/>
  <c r="AB367"/>
  <c r="AD378"/>
  <c r="AF378"/>
  <c r="AC378"/>
  <c r="AT399"/>
  <c r="AT465"/>
  <c r="AU341"/>
  <c r="AU461"/>
  <c r="AH207"/>
  <c r="AH215"/>
  <c r="AH457"/>
  <c r="AA198"/>
  <c r="AM191"/>
  <c r="AM456"/>
  <c r="AF256"/>
  <c r="AE258"/>
  <c r="AE259"/>
  <c r="AE459"/>
  <c r="AR473"/>
  <c r="AR478"/>
  <c r="AF414"/>
  <c r="AQ477"/>
  <c r="AQ468"/>
  <c r="AE214"/>
  <c r="AE215"/>
  <c r="AE457"/>
  <c r="AH356"/>
  <c r="AH364"/>
  <c r="AA350"/>
  <c r="AF46"/>
  <c r="AF452"/>
  <c r="AC38"/>
  <c r="AF282"/>
  <c r="AC282"/>
  <c r="AD282"/>
  <c r="Z171"/>
  <c r="AD347"/>
  <c r="AF347"/>
  <c r="AC347"/>
  <c r="AC248"/>
  <c r="AF185"/>
  <c r="AE190"/>
  <c r="AE191"/>
  <c r="AE456"/>
  <c r="AG478"/>
  <c r="AN137"/>
  <c r="AD204"/>
  <c r="AF204"/>
  <c r="AC204"/>
  <c r="AF275"/>
  <c r="AP341"/>
  <c r="AP461"/>
  <c r="AQ240"/>
  <c r="AQ458"/>
  <c r="AB285"/>
  <c r="AB307"/>
  <c r="AB460"/>
  <c r="AF277"/>
  <c r="AM151"/>
  <c r="AM171"/>
  <c r="AR469"/>
  <c r="AF358"/>
  <c r="AE363"/>
  <c r="AE364"/>
  <c r="AC390"/>
  <c r="AF392"/>
  <c r="AS478"/>
  <c r="AF254"/>
  <c r="N447"/>
  <c r="AC486"/>
  <c r="AC175"/>
  <c r="AD174"/>
  <c r="AD175"/>
  <c r="AQ307"/>
  <c r="AQ460"/>
  <c r="AC385"/>
  <c r="AF386"/>
  <c r="AF387"/>
  <c r="AF464"/>
  <c r="AQ475"/>
  <c r="AI471"/>
  <c r="AI478"/>
  <c r="AI449"/>
  <c r="AI469"/>
  <c r="AI447"/>
  <c r="AH462"/>
  <c r="AH369"/>
  <c r="AH474"/>
  <c r="AF94"/>
  <c r="AF453"/>
  <c r="AC48"/>
  <c r="AN12"/>
  <c r="AU12"/>
  <c r="AC29"/>
  <c r="AF32"/>
  <c r="AF451"/>
  <c r="AJ471"/>
  <c r="AJ478"/>
  <c r="AJ449"/>
  <c r="AJ469"/>
  <c r="AJ447"/>
  <c r="AB476"/>
  <c r="AB467"/>
  <c r="AN13"/>
  <c r="AU13"/>
  <c r="AT13"/>
  <c r="AM13"/>
  <c r="AA356"/>
  <c r="AA364"/>
  <c r="AA369"/>
  <c r="AQ350"/>
  <c r="AQ356"/>
  <c r="AB350"/>
  <c r="AQ198"/>
  <c r="AQ207"/>
  <c r="AQ215"/>
  <c r="AQ457"/>
  <c r="AA207"/>
  <c r="AA215"/>
  <c r="AB198"/>
  <c r="AM16"/>
  <c r="AT16"/>
  <c r="AC214"/>
  <c r="AD209"/>
  <c r="AD214"/>
  <c r="AF446"/>
  <c r="AC443"/>
  <c r="AU171"/>
  <c r="AU483"/>
  <c r="AB398"/>
  <c r="AB399"/>
  <c r="AB465"/>
  <c r="AF394"/>
  <c r="G447"/>
  <c r="AC36"/>
  <c r="AD34"/>
  <c r="AD36"/>
  <c r="AP12"/>
  <c r="AO12"/>
  <c r="AP473"/>
  <c r="AP455"/>
  <c r="AC333"/>
  <c r="AD321"/>
  <c r="AD333"/>
  <c r="AC383"/>
  <c r="AD377"/>
  <c r="AD383"/>
  <c r="AH456"/>
  <c r="AH447"/>
  <c r="AF319"/>
  <c r="AC310"/>
  <c r="AC480"/>
  <c r="AC302"/>
  <c r="AF306"/>
  <c r="AU472"/>
  <c r="AU454"/>
  <c r="AD13"/>
  <c r="AF13"/>
  <c r="AH475"/>
  <c r="AC254"/>
  <c r="AD248"/>
  <c r="AD254"/>
  <c r="AE16"/>
  <c r="AF16"/>
  <c r="AC16"/>
  <c r="AD16"/>
  <c r="AQ455"/>
  <c r="AF190"/>
  <c r="AC185"/>
  <c r="AB468"/>
  <c r="AB477"/>
  <c r="AF233"/>
  <c r="AE239"/>
  <c r="AE240"/>
  <c r="AE458"/>
  <c r="AT12"/>
  <c r="AM12"/>
  <c r="AK473"/>
  <c r="AK455"/>
  <c r="AF259"/>
  <c r="AF459"/>
  <c r="AO473"/>
  <c r="AO455"/>
  <c r="AQ177"/>
  <c r="AQ183"/>
  <c r="AQ191"/>
  <c r="AQ456"/>
  <c r="AA183"/>
  <c r="AA191"/>
  <c r="AB177"/>
  <c r="AW14"/>
  <c r="AW19"/>
  <c r="Z14"/>
  <c r="AB14"/>
  <c r="AK14"/>
  <c r="AL14"/>
  <c r="AC437"/>
  <c r="AF440"/>
  <c r="AF441"/>
  <c r="AX486"/>
  <c r="AX487"/>
  <c r="AX19"/>
  <c r="AX447"/>
  <c r="AB464"/>
  <c r="AB412"/>
  <c r="AB430"/>
  <c r="AB466"/>
  <c r="AF402"/>
  <c r="AE455"/>
  <c r="AT475"/>
  <c r="AC358"/>
  <c r="AF363"/>
  <c r="AE466"/>
  <c r="AE475"/>
  <c r="AW473"/>
  <c r="AW455"/>
  <c r="AF335"/>
  <c r="AE340"/>
  <c r="AE341"/>
  <c r="AE461"/>
  <c r="AC392"/>
  <c r="AD390"/>
  <c r="AD392"/>
  <c r="AM473"/>
  <c r="AM455"/>
  <c r="AC46"/>
  <c r="AC452"/>
  <c r="AD38"/>
  <c r="AD46"/>
  <c r="AD452"/>
  <c r="AC414"/>
  <c r="AQ364"/>
  <c r="AN16"/>
  <c r="AU16"/>
  <c r="AC345"/>
  <c r="AF348"/>
  <c r="AC151"/>
  <c r="AD141"/>
  <c r="AD151"/>
  <c r="AC223"/>
  <c r="AF231"/>
  <c r="AE462"/>
  <c r="AE369"/>
  <c r="AE474"/>
  <c r="AC277"/>
  <c r="AF285"/>
  <c r="AN472"/>
  <c r="AN454"/>
  <c r="AF258"/>
  <c r="AC256"/>
  <c r="AB368"/>
  <c r="AB463"/>
  <c r="AF367"/>
  <c r="AN473"/>
  <c r="AN455"/>
  <c r="AH473"/>
  <c r="AB163"/>
  <c r="AB171"/>
  <c r="AF153"/>
  <c r="AE300"/>
  <c r="AE307"/>
  <c r="AE460"/>
  <c r="AF294"/>
  <c r="AC123"/>
  <c r="AF136"/>
  <c r="AF137"/>
  <c r="AC428"/>
  <c r="AF429"/>
  <c r="AB240"/>
  <c r="AB458"/>
  <c r="AW479"/>
  <c r="AB12"/>
  <c r="AC287"/>
  <c r="AF292"/>
  <c r="AC246"/>
  <c r="AD244"/>
  <c r="AD246"/>
  <c r="AB341"/>
  <c r="AB461"/>
  <c r="AW472"/>
  <c r="AW454"/>
  <c r="AT171"/>
  <c r="AT483"/>
  <c r="AD18"/>
  <c r="AB137"/>
  <c r="AO475"/>
  <c r="AO464"/>
  <c r="AO13"/>
  <c r="AP13"/>
  <c r="AF170"/>
  <c r="AC165"/>
  <c r="R21"/>
  <c r="AH478"/>
  <c r="AQ473"/>
  <c r="AC386"/>
  <c r="AC387"/>
  <c r="AC464"/>
  <c r="AD385"/>
  <c r="AD386"/>
  <c r="AD387"/>
  <c r="AD464"/>
  <c r="AQ447"/>
  <c r="AH469"/>
  <c r="AF14"/>
  <c r="AC14"/>
  <c r="AW449"/>
  <c r="AC170"/>
  <c r="AD165"/>
  <c r="AD170"/>
  <c r="AB455"/>
  <c r="AC258"/>
  <c r="AD256"/>
  <c r="AD258"/>
  <c r="AD259"/>
  <c r="AD459"/>
  <c r="AN14"/>
  <c r="AU14"/>
  <c r="AU19"/>
  <c r="AC190"/>
  <c r="AD185"/>
  <c r="AD190"/>
  <c r="AC319"/>
  <c r="AD310"/>
  <c r="AD319"/>
  <c r="AF398"/>
  <c r="AF399"/>
  <c r="AC394"/>
  <c r="AC446"/>
  <c r="AD443"/>
  <c r="AD446"/>
  <c r="AF472"/>
  <c r="AF454"/>
  <c r="AC292"/>
  <c r="AD287"/>
  <c r="AD292"/>
  <c r="AF368"/>
  <c r="AF463"/>
  <c r="AC367"/>
  <c r="AC285"/>
  <c r="AD277"/>
  <c r="AD285"/>
  <c r="AC231"/>
  <c r="AD223"/>
  <c r="AD231"/>
  <c r="AQ462"/>
  <c r="AQ469"/>
  <c r="AQ369"/>
  <c r="AQ474"/>
  <c r="AQ478"/>
  <c r="AE473"/>
  <c r="AB183"/>
  <c r="AB191"/>
  <c r="AB456"/>
  <c r="AF177"/>
  <c r="AM19"/>
  <c r="AC233"/>
  <c r="AF239"/>
  <c r="AF240"/>
  <c r="AF458"/>
  <c r="AC306"/>
  <c r="AD302"/>
  <c r="AD306"/>
  <c r="AF477"/>
  <c r="AF468"/>
  <c r="AL19"/>
  <c r="AC429"/>
  <c r="AD428"/>
  <c r="AD429"/>
  <c r="AF476"/>
  <c r="AF467"/>
  <c r="AB356"/>
  <c r="AB364"/>
  <c r="AF350"/>
  <c r="AN19"/>
  <c r="AC94"/>
  <c r="AC453"/>
  <c r="AD48"/>
  <c r="AD94"/>
  <c r="AD453"/>
  <c r="AF300"/>
  <c r="AF307"/>
  <c r="AF460"/>
  <c r="AC294"/>
  <c r="AT473"/>
  <c r="AT455"/>
  <c r="AB479"/>
  <c r="AB19"/>
  <c r="AD12"/>
  <c r="AC136"/>
  <c r="AD123"/>
  <c r="AD136"/>
  <c r="AD137"/>
  <c r="AC153"/>
  <c r="AF163"/>
  <c r="AF171"/>
  <c r="AC348"/>
  <c r="AD345"/>
  <c r="AD348"/>
  <c r="AD414"/>
  <c r="AC363"/>
  <c r="AD358"/>
  <c r="AD363"/>
  <c r="AM14"/>
  <c r="AT14"/>
  <c r="AT19"/>
  <c r="AA447"/>
  <c r="R27"/>
  <c r="R447"/>
  <c r="AW21"/>
  <c r="AK21"/>
  <c r="AB21"/>
  <c r="AL21"/>
  <c r="AB472"/>
  <c r="AB454"/>
  <c r="AC259"/>
  <c r="AC459"/>
  <c r="AF340"/>
  <c r="AF341"/>
  <c r="AF461"/>
  <c r="AC335"/>
  <c r="AC402"/>
  <c r="AF412"/>
  <c r="AF430"/>
  <c r="AF466"/>
  <c r="AB475"/>
  <c r="AC440"/>
  <c r="AC441"/>
  <c r="AD437"/>
  <c r="AD440"/>
  <c r="AD441"/>
  <c r="AO14"/>
  <c r="AO19"/>
  <c r="AP14"/>
  <c r="AP19"/>
  <c r="AK19"/>
  <c r="Z19"/>
  <c r="Z447"/>
  <c r="AU473"/>
  <c r="AU455"/>
  <c r="AB207"/>
  <c r="AB215"/>
  <c r="AB457"/>
  <c r="AF198"/>
  <c r="AC32"/>
  <c r="AC451"/>
  <c r="AD29"/>
  <c r="AD32"/>
  <c r="AD451"/>
  <c r="AB483"/>
  <c r="AT479"/>
  <c r="AU479"/>
  <c r="AP471"/>
  <c r="AP478"/>
  <c r="AP449"/>
  <c r="AP469"/>
  <c r="AP447"/>
  <c r="AU449"/>
  <c r="AO471"/>
  <c r="AO478"/>
  <c r="AO447"/>
  <c r="AO449"/>
  <c r="AO469"/>
  <c r="AT449"/>
  <c r="AF465"/>
  <c r="AF475"/>
  <c r="AK449"/>
  <c r="AC467"/>
  <c r="AC476"/>
  <c r="AC340"/>
  <c r="AD335"/>
  <c r="AD340"/>
  <c r="AD341"/>
  <c r="AD461"/>
  <c r="AB27"/>
  <c r="AB450"/>
  <c r="AE21"/>
  <c r="AB482"/>
  <c r="AC137"/>
  <c r="AC300"/>
  <c r="AC307"/>
  <c r="AC460"/>
  <c r="AD294"/>
  <c r="AD300"/>
  <c r="AD307"/>
  <c r="AD460"/>
  <c r="AB462"/>
  <c r="AB369"/>
  <c r="AB474"/>
  <c r="AB484"/>
  <c r="AC368"/>
  <c r="AC463"/>
  <c r="AD367"/>
  <c r="AD368"/>
  <c r="AD463"/>
  <c r="AD468"/>
  <c r="AD477"/>
  <c r="AD476"/>
  <c r="AD467"/>
  <c r="AN21"/>
  <c r="AN27"/>
  <c r="AN450"/>
  <c r="AU21"/>
  <c r="AL27"/>
  <c r="AL450"/>
  <c r="AC198"/>
  <c r="AF207"/>
  <c r="AF215"/>
  <c r="AF457"/>
  <c r="AM21"/>
  <c r="AM27"/>
  <c r="AM450"/>
  <c r="AT21"/>
  <c r="AK27"/>
  <c r="AK450"/>
  <c r="AF455"/>
  <c r="AN471"/>
  <c r="AN478"/>
  <c r="AN447"/>
  <c r="AN449"/>
  <c r="AL449"/>
  <c r="AL469"/>
  <c r="AF183"/>
  <c r="AF191"/>
  <c r="AF456"/>
  <c r="AC177"/>
  <c r="AC468"/>
  <c r="AC477"/>
  <c r="AC479"/>
  <c r="AC19"/>
  <c r="AC412"/>
  <c r="AD402"/>
  <c r="AD412"/>
  <c r="AD430"/>
  <c r="AD466"/>
  <c r="AD472"/>
  <c r="AD454"/>
  <c r="AM449"/>
  <c r="AM469"/>
  <c r="AC489"/>
  <c r="AE12"/>
  <c r="AW27"/>
  <c r="AW482"/>
  <c r="AW487"/>
  <c r="AC163"/>
  <c r="AC171"/>
  <c r="AD153"/>
  <c r="AD163"/>
  <c r="AD171"/>
  <c r="AB449"/>
  <c r="AB469"/>
  <c r="AB447"/>
  <c r="AB505"/>
  <c r="AF356"/>
  <c r="AF364"/>
  <c r="AC350"/>
  <c r="AC239"/>
  <c r="AC485"/>
  <c r="AD233"/>
  <c r="AD239"/>
  <c r="AD240"/>
  <c r="AD458"/>
  <c r="AC398"/>
  <c r="AC399"/>
  <c r="AD394"/>
  <c r="AD398"/>
  <c r="AD399"/>
  <c r="AC341"/>
  <c r="AC461"/>
  <c r="AB473"/>
  <c r="AD14"/>
  <c r="AD19"/>
  <c r="AB471"/>
  <c r="AL471"/>
  <c r="AL478"/>
  <c r="AL447"/>
  <c r="AN469"/>
  <c r="AB487"/>
  <c r="AD449"/>
  <c r="AF462"/>
  <c r="AF369"/>
  <c r="AF474"/>
  <c r="AF12"/>
  <c r="AF19"/>
  <c r="AE19"/>
  <c r="AC207"/>
  <c r="AC215"/>
  <c r="AC457"/>
  <c r="AD198"/>
  <c r="AD207"/>
  <c r="AD215"/>
  <c r="AD457"/>
  <c r="AK469"/>
  <c r="AB506"/>
  <c r="AB507"/>
  <c r="AC455"/>
  <c r="AM471"/>
  <c r="AM478"/>
  <c r="AC240"/>
  <c r="AC458"/>
  <c r="AT27"/>
  <c r="AT482"/>
  <c r="AT487"/>
  <c r="AC472"/>
  <c r="AC454"/>
  <c r="AK447"/>
  <c r="AU27"/>
  <c r="AU482"/>
  <c r="AU487"/>
  <c r="AE27"/>
  <c r="AE450"/>
  <c r="AF21"/>
  <c r="AK471"/>
  <c r="AK478"/>
  <c r="AD455"/>
  <c r="AD465"/>
  <c r="AD475"/>
  <c r="AC466"/>
  <c r="AC483"/>
  <c r="AC183"/>
  <c r="AC191"/>
  <c r="AC456"/>
  <c r="AD177"/>
  <c r="AD183"/>
  <c r="AD191"/>
  <c r="AD456"/>
  <c r="AC465"/>
  <c r="AC356"/>
  <c r="AC364"/>
  <c r="AD350"/>
  <c r="AD356"/>
  <c r="AD364"/>
  <c r="AB478"/>
  <c r="AW450"/>
  <c r="AW469"/>
  <c r="AW471"/>
  <c r="AW478"/>
  <c r="AW447"/>
  <c r="AM447"/>
  <c r="AC449"/>
  <c r="AF473"/>
  <c r="AC484"/>
  <c r="AC462"/>
  <c r="AC369"/>
  <c r="AC474"/>
  <c r="AC475"/>
  <c r="AF27"/>
  <c r="AF450"/>
  <c r="AC21"/>
  <c r="AU450"/>
  <c r="AU469"/>
  <c r="AU447"/>
  <c r="AU471"/>
  <c r="AU478"/>
  <c r="AE471"/>
  <c r="AE478"/>
  <c r="AE449"/>
  <c r="AE469"/>
  <c r="AE447"/>
  <c r="AT450"/>
  <c r="AT469"/>
  <c r="AT471"/>
  <c r="AT478"/>
  <c r="AT447"/>
  <c r="AC473"/>
  <c r="AF449"/>
  <c r="AD462"/>
  <c r="AD369"/>
  <c r="AD474"/>
  <c r="AD473"/>
  <c r="AF469"/>
  <c r="AF447"/>
  <c r="AF471"/>
  <c r="AF478"/>
  <c r="AC27"/>
  <c r="AC482"/>
  <c r="AD21"/>
  <c r="AD27"/>
  <c r="AC487"/>
  <c r="AC450"/>
  <c r="AC469"/>
  <c r="AC471"/>
  <c r="AC478"/>
  <c r="AD450"/>
  <c r="AD469"/>
  <c r="AD471"/>
  <c r="AD478"/>
  <c r="AD447"/>
  <c r="E82" i="8"/>
  <c r="E80"/>
  <c r="H11" i="4"/>
  <c r="E4" i="39"/>
  <c r="O15"/>
  <c r="O12"/>
  <c r="O4"/>
  <c r="F12" i="4"/>
  <c r="G12"/>
  <c r="E12"/>
  <c r="H18"/>
  <c r="H10"/>
  <c r="H17"/>
  <c r="J2" i="40"/>
  <c r="L5"/>
  <c r="D5"/>
  <c r="E5"/>
  <c r="B17"/>
  <c r="G4" i="4"/>
  <c r="C30" i="43"/>
  <c r="H93" i="8"/>
  <c r="C29" i="43"/>
  <c r="H92" i="8"/>
  <c r="C31" i="43"/>
  <c r="H94" i="8"/>
  <c r="H95"/>
  <c r="H96"/>
  <c r="C34" i="43"/>
  <c r="H97" i="8"/>
  <c r="H91"/>
  <c r="F4" i="39"/>
  <c r="D4"/>
  <c r="E15"/>
  <c r="P18"/>
  <c r="D12"/>
  <c r="D15"/>
  <c r="P21"/>
  <c r="E79" i="37"/>
  <c r="F79"/>
  <c r="G79"/>
  <c r="H79"/>
  <c r="I79"/>
  <c r="J79"/>
  <c r="K79"/>
  <c r="L79"/>
  <c r="M79"/>
  <c r="N79"/>
  <c r="O79"/>
  <c r="D79"/>
  <c r="B36" i="43"/>
  <c r="G50" i="35"/>
  <c r="O24" i="38"/>
  <c r="O22"/>
  <c r="O21"/>
  <c r="O20"/>
  <c r="D34" i="40"/>
  <c r="I17"/>
  <c r="D29"/>
  <c r="D30"/>
  <c r="D31"/>
  <c r="D32"/>
  <c r="D33"/>
  <c r="D35"/>
  <c r="D36"/>
  <c r="D37"/>
  <c r="D38"/>
  <c r="D39"/>
  <c r="D28"/>
  <c r="D43"/>
  <c r="E12" i="43"/>
  <c r="D44" i="40"/>
  <c r="F12" i="43"/>
  <c r="D41" i="40"/>
  <c r="D40"/>
  <c r="D42"/>
  <c r="D12" i="43"/>
  <c r="B40" i="40"/>
  <c r="D45"/>
  <c r="H19" i="4"/>
  <c r="D4"/>
  <c r="N74" i="37"/>
  <c r="N5"/>
  <c r="G20" i="35"/>
  <c r="Q3" i="39"/>
  <c r="C20" i="42"/>
  <c r="D23" i="4"/>
  <c r="H16"/>
  <c r="H39" i="8"/>
  <c r="D30" i="4"/>
  <c r="E31"/>
  <c r="F31"/>
  <c r="G31"/>
  <c r="C25" i="40"/>
  <c r="E28"/>
  <c r="H31" i="4"/>
  <c r="C2" i="38"/>
  <c r="L26" i="42"/>
  <c r="H26"/>
  <c r="I26"/>
  <c r="J26"/>
  <c r="K26"/>
  <c r="G26"/>
  <c r="F26"/>
  <c r="N26"/>
  <c r="M26"/>
  <c r="D26"/>
  <c r="E26"/>
  <c r="O26"/>
  <c r="G73" i="8"/>
  <c r="K86"/>
  <c r="J86"/>
  <c r="I86"/>
  <c r="H86"/>
  <c r="O11" i="38"/>
  <c r="O31"/>
  <c r="G27"/>
  <c r="C15"/>
  <c r="C10"/>
  <c r="C32"/>
  <c r="D86" i="37"/>
  <c r="D74"/>
  <c r="D24" i="43"/>
  <c r="E24"/>
  <c r="F24"/>
  <c r="D27"/>
  <c r="E27"/>
  <c r="F27"/>
  <c r="P36" i="39"/>
  <c r="P39"/>
  <c r="P23"/>
  <c r="P24"/>
  <c r="P25"/>
  <c r="P26"/>
  <c r="P27"/>
  <c r="P28"/>
  <c r="P29"/>
  <c r="P30"/>
  <c r="P31"/>
  <c r="P32"/>
  <c r="P33"/>
  <c r="P34"/>
  <c r="P35"/>
  <c r="P37"/>
  <c r="P38"/>
  <c r="P22"/>
  <c r="P10"/>
  <c r="P13"/>
  <c r="P14"/>
  <c r="P16"/>
  <c r="P17"/>
  <c r="F15"/>
  <c r="G15"/>
  <c r="H15"/>
  <c r="I15"/>
  <c r="J15"/>
  <c r="K15"/>
  <c r="L15"/>
  <c r="M15"/>
  <c r="N15"/>
  <c r="E12"/>
  <c r="F12"/>
  <c r="G12"/>
  <c r="P12"/>
  <c r="H12"/>
  <c r="I12"/>
  <c r="J12"/>
  <c r="K12"/>
  <c r="L12"/>
  <c r="M12"/>
  <c r="N12"/>
  <c r="D21"/>
  <c r="G4"/>
  <c r="H4"/>
  <c r="I4"/>
  <c r="J4"/>
  <c r="K4"/>
  <c r="L4"/>
  <c r="M4"/>
  <c r="N4"/>
  <c r="I21"/>
  <c r="J21"/>
  <c r="K21"/>
  <c r="L21"/>
  <c r="M21"/>
  <c r="N21"/>
  <c r="O21"/>
  <c r="E21"/>
  <c r="F21"/>
  <c r="G21"/>
  <c r="H21"/>
  <c r="P19"/>
  <c r="B14" i="43"/>
  <c r="B25"/>
  <c r="B26"/>
  <c r="F30"/>
  <c r="E30"/>
  <c r="D30"/>
  <c r="P15" i="39"/>
  <c r="E29" i="43"/>
  <c r="J92" i="8"/>
  <c r="F29" i="43"/>
  <c r="K92" i="8"/>
  <c r="D29" i="43"/>
  <c r="I92" i="8"/>
  <c r="F31" i="43"/>
  <c r="D31"/>
  <c r="E31"/>
  <c r="D3" i="37"/>
  <c r="K96" i="8"/>
  <c r="J96"/>
  <c r="I96"/>
  <c r="K95"/>
  <c r="J95"/>
  <c r="I95"/>
  <c r="B30" i="43"/>
  <c r="G96" i="8"/>
  <c r="B31" i="43"/>
  <c r="G95" i="8"/>
  <c r="E5" i="37"/>
  <c r="B35" i="43"/>
  <c r="F34"/>
  <c r="E34"/>
  <c r="D34"/>
  <c r="B34"/>
  <c r="K94" i="8"/>
  <c r="I93"/>
  <c r="J93"/>
  <c r="K93"/>
  <c r="H74"/>
  <c r="I97"/>
  <c r="J97"/>
  <c r="K97"/>
  <c r="I99"/>
  <c r="H99"/>
  <c r="I88"/>
  <c r="J88"/>
  <c r="K88"/>
  <c r="H88"/>
  <c r="I79"/>
  <c r="J79"/>
  <c r="K79"/>
  <c r="H79"/>
  <c r="H70"/>
  <c r="K61"/>
  <c r="J61"/>
  <c r="I61"/>
  <c r="H61"/>
  <c r="D7" i="43"/>
  <c r="D20"/>
  <c r="I77" i="8"/>
  <c r="H77"/>
  <c r="B33" i="43"/>
  <c r="B32"/>
  <c r="J94" i="8"/>
  <c r="I94"/>
  <c r="H75"/>
  <c r="B29" i="43"/>
  <c r="B28"/>
  <c r="C27"/>
  <c r="B27"/>
  <c r="C24"/>
  <c r="B24"/>
  <c r="C23"/>
  <c r="B19"/>
  <c r="K70" i="8"/>
  <c r="B10" i="43"/>
  <c r="I70" i="8"/>
  <c r="G93"/>
  <c r="B23" i="43"/>
  <c r="F20"/>
  <c r="K77" i="8"/>
  <c r="E20" i="43"/>
  <c r="J77" i="8"/>
  <c r="J70"/>
  <c r="G70"/>
  <c r="H72"/>
  <c r="E7" i="43"/>
  <c r="B15"/>
  <c r="G77" i="8"/>
  <c r="K99"/>
  <c r="J99"/>
  <c r="F7" i="43"/>
  <c r="B7"/>
  <c r="Q28" i="42"/>
  <c r="P28"/>
  <c r="O28"/>
  <c r="O19"/>
  <c r="O15"/>
  <c r="P26"/>
  <c r="R26"/>
  <c r="Q23"/>
  <c r="P23"/>
  <c r="O23"/>
  <c r="C22"/>
  <c r="D22"/>
  <c r="Q19"/>
  <c r="P19"/>
  <c r="Q15"/>
  <c r="P15"/>
  <c r="O10"/>
  <c r="Q10"/>
  <c r="P10"/>
  <c r="Q6"/>
  <c r="P6"/>
  <c r="O6"/>
  <c r="P81" i="37"/>
  <c r="Q26" i="42"/>
  <c r="S26"/>
  <c r="E22"/>
  <c r="F22"/>
  <c r="O22"/>
  <c r="G22"/>
  <c r="H22"/>
  <c r="I22"/>
  <c r="P22"/>
  <c r="J22"/>
  <c r="K22"/>
  <c r="L22"/>
  <c r="G99" i="8"/>
  <c r="Q22" i="42"/>
  <c r="M22"/>
  <c r="N22"/>
  <c r="I2" i="38"/>
  <c r="E86" i="37"/>
  <c r="D5"/>
  <c r="D87"/>
  <c r="R22" i="42"/>
  <c r="S22"/>
  <c r="H58" i="8"/>
  <c r="I58"/>
  <c r="J58"/>
  <c r="K58"/>
  <c r="J497" i="36"/>
  <c r="T500"/>
  <c r="J491"/>
  <c r="J500"/>
  <c r="J495"/>
  <c r="J183"/>
  <c r="J133"/>
  <c r="J116"/>
  <c r="J5"/>
  <c r="H133" i="8"/>
  <c r="I133"/>
  <c r="J133"/>
  <c r="K133"/>
  <c r="H131"/>
  <c r="H129"/>
  <c r="I129"/>
  <c r="J129"/>
  <c r="K129"/>
  <c r="H132"/>
  <c r="I132"/>
  <c r="J132"/>
  <c r="K132"/>
  <c r="D20" i="42"/>
  <c r="I131" i="8"/>
  <c r="J131"/>
  <c r="K131"/>
  <c r="H130"/>
  <c r="I130"/>
  <c r="J130"/>
  <c r="H128"/>
  <c r="I128"/>
  <c r="J128"/>
  <c r="K128"/>
  <c r="K130"/>
  <c r="H138"/>
  <c r="H145"/>
  <c r="F20" i="42"/>
  <c r="O25"/>
  <c r="O13"/>
  <c r="O21"/>
  <c r="O8"/>
  <c r="O4"/>
  <c r="R23"/>
  <c r="S23"/>
  <c r="P8"/>
  <c r="P13"/>
  <c r="P25"/>
  <c r="R28"/>
  <c r="S28"/>
  <c r="R19"/>
  <c r="I138" i="8"/>
  <c r="P21" i="42"/>
  <c r="P4"/>
  <c r="S19"/>
  <c r="Q13"/>
  <c r="R10"/>
  <c r="S10"/>
  <c r="R25"/>
  <c r="Q25"/>
  <c r="S25"/>
  <c r="R15"/>
  <c r="S15"/>
  <c r="Q8"/>
  <c r="Q4"/>
  <c r="R6"/>
  <c r="S6"/>
  <c r="Q21"/>
  <c r="J138" i="8"/>
  <c r="I140"/>
  <c r="P27" i="42"/>
  <c r="O27"/>
  <c r="H140" i="8"/>
  <c r="O14" i="42"/>
  <c r="R13"/>
  <c r="S13"/>
  <c r="S17"/>
  <c r="R8"/>
  <c r="S8"/>
  <c r="R4"/>
  <c r="S4"/>
  <c r="E20"/>
  <c r="G20"/>
  <c r="C36"/>
  <c r="C30"/>
  <c r="C31"/>
  <c r="C32"/>
  <c r="H137" i="8"/>
  <c r="H136"/>
  <c r="R21" i="42"/>
  <c r="S21"/>
  <c r="D30"/>
  <c r="D31"/>
  <c r="Q27"/>
  <c r="O11"/>
  <c r="S24"/>
  <c r="G138" i="8"/>
  <c r="K138"/>
  <c r="P5" i="42"/>
  <c r="O5"/>
  <c r="J140" i="8"/>
  <c r="P9" i="42"/>
  <c r="H20"/>
  <c r="I137" i="8"/>
  <c r="I20" i="42"/>
  <c r="H135" i="8"/>
  <c r="I21" i="40"/>
  <c r="I19"/>
  <c r="I18"/>
  <c r="H9" i="4"/>
  <c r="F4"/>
  <c r="E4"/>
  <c r="H12"/>
  <c r="E29" i="40"/>
  <c r="E30"/>
  <c r="F30"/>
  <c r="E31"/>
  <c r="E32"/>
  <c r="E33"/>
  <c r="F33"/>
  <c r="E34"/>
  <c r="E35"/>
  <c r="F35"/>
  <c r="E36"/>
  <c r="F36"/>
  <c r="E37"/>
  <c r="E38"/>
  <c r="F38"/>
  <c r="E39"/>
  <c r="F39"/>
  <c r="F28"/>
  <c r="I20"/>
  <c r="L20"/>
  <c r="K6"/>
  <c r="L6"/>
  <c r="K7"/>
  <c r="L7"/>
  <c r="K8"/>
  <c r="L8"/>
  <c r="L19"/>
  <c r="K20"/>
  <c r="K14"/>
  <c r="K15"/>
  <c r="L15"/>
  <c r="K16"/>
  <c r="D6"/>
  <c r="E6"/>
  <c r="F6"/>
  <c r="D7"/>
  <c r="E7"/>
  <c r="F7"/>
  <c r="D8"/>
  <c r="D9"/>
  <c r="D10"/>
  <c r="D11"/>
  <c r="E11"/>
  <c r="F11"/>
  <c r="D12"/>
  <c r="E12"/>
  <c r="D13"/>
  <c r="D14"/>
  <c r="E14"/>
  <c r="F14"/>
  <c r="D15"/>
  <c r="E15"/>
  <c r="F15"/>
  <c r="D16"/>
  <c r="B44"/>
  <c r="B43"/>
  <c r="B42"/>
  <c r="B41"/>
  <c r="M20"/>
  <c r="B21"/>
  <c r="B20"/>
  <c r="B19"/>
  <c r="B18"/>
  <c r="E10"/>
  <c r="F10"/>
  <c r="D21"/>
  <c r="K65" i="8"/>
  <c r="F30" i="42"/>
  <c r="F31"/>
  <c r="F36"/>
  <c r="F37"/>
  <c r="F38"/>
  <c r="G36"/>
  <c r="G37"/>
  <c r="G38"/>
  <c r="D19" i="40"/>
  <c r="I65" i="8"/>
  <c r="D18" i="40"/>
  <c r="H65" i="8"/>
  <c r="B22" i="40"/>
  <c r="F37"/>
  <c r="F44"/>
  <c r="E44"/>
  <c r="F29"/>
  <c r="E41"/>
  <c r="E40"/>
  <c r="I22"/>
  <c r="F31"/>
  <c r="E42"/>
  <c r="D17"/>
  <c r="K17"/>
  <c r="I36"/>
  <c r="J67" i="8"/>
  <c r="E11" i="43"/>
  <c r="F34" i="40"/>
  <c r="F43"/>
  <c r="E43"/>
  <c r="H4" i="4"/>
  <c r="I39" i="8"/>
  <c r="E30" i="42"/>
  <c r="E31"/>
  <c r="O31"/>
  <c r="C12" i="43"/>
  <c r="R27" i="42"/>
  <c r="S27"/>
  <c r="J20"/>
  <c r="I135" i="8"/>
  <c r="H142"/>
  <c r="D36" i="42"/>
  <c r="D37"/>
  <c r="D38"/>
  <c r="D32"/>
  <c r="O9"/>
  <c r="C37"/>
  <c r="C38"/>
  <c r="K19" i="40"/>
  <c r="D11" i="43"/>
  <c r="F41" i="40"/>
  <c r="B45"/>
  <c r="D20"/>
  <c r="L36"/>
  <c r="L14"/>
  <c r="M14"/>
  <c r="M15"/>
  <c r="M6"/>
  <c r="K21"/>
  <c r="F11" i="43"/>
  <c r="L16" i="40"/>
  <c r="M16"/>
  <c r="M8"/>
  <c r="M19"/>
  <c r="K18"/>
  <c r="C11" i="43"/>
  <c r="M7" i="40"/>
  <c r="F32"/>
  <c r="E13"/>
  <c r="F13"/>
  <c r="E9"/>
  <c r="F9"/>
  <c r="F12"/>
  <c r="E16"/>
  <c r="F16"/>
  <c r="F21"/>
  <c r="E8"/>
  <c r="F5"/>
  <c r="E18"/>
  <c r="F39" i="8"/>
  <c r="F40"/>
  <c r="F41"/>
  <c r="F42"/>
  <c r="F43"/>
  <c r="F44"/>
  <c r="F45"/>
  <c r="F46"/>
  <c r="E107"/>
  <c r="F71"/>
  <c r="F13" i="43"/>
  <c r="D13"/>
  <c r="P11" i="42"/>
  <c r="C13" i="43"/>
  <c r="F40" i="40"/>
  <c r="E17"/>
  <c r="L35"/>
  <c r="M21"/>
  <c r="O37"/>
  <c r="B11" i="43"/>
  <c r="L17" i="40"/>
  <c r="J65" i="8"/>
  <c r="G65"/>
  <c r="E13" i="43"/>
  <c r="I37" i="40"/>
  <c r="K67" i="8"/>
  <c r="L34" i="40"/>
  <c r="L37"/>
  <c r="I34"/>
  <c r="I35"/>
  <c r="I67" i="8"/>
  <c r="E45" i="40"/>
  <c r="B12" i="43"/>
  <c r="F42" i="40"/>
  <c r="F45"/>
  <c r="Q9" i="42"/>
  <c r="Q5"/>
  <c r="K20"/>
  <c r="K140" i="8"/>
  <c r="S29" i="42"/>
  <c r="G140" i="8"/>
  <c r="E36" i="42"/>
  <c r="E37"/>
  <c r="E38"/>
  <c r="K22" i="40"/>
  <c r="E20"/>
  <c r="E21"/>
  <c r="L18"/>
  <c r="D21" i="4"/>
  <c r="L21" i="40"/>
  <c r="F20"/>
  <c r="O36"/>
  <c r="D22"/>
  <c r="E19"/>
  <c r="F8"/>
  <c r="F19"/>
  <c r="F18"/>
  <c r="B13" i="43"/>
  <c r="D18"/>
  <c r="I139" i="8"/>
  <c r="I55"/>
  <c r="H36" i="42"/>
  <c r="I36"/>
  <c r="I37"/>
  <c r="I38"/>
  <c r="L38" i="40"/>
  <c r="O35"/>
  <c r="E26" i="4"/>
  <c r="M18" i="40"/>
  <c r="M22"/>
  <c r="M17"/>
  <c r="F22"/>
  <c r="F17"/>
  <c r="G26" i="4"/>
  <c r="G20"/>
  <c r="L20" i="42"/>
  <c r="J135" i="8"/>
  <c r="H139"/>
  <c r="O36" i="42"/>
  <c r="E22" i="40"/>
  <c r="I38"/>
  <c r="H67" i="8"/>
  <c r="H62"/>
  <c r="L22" i="40"/>
  <c r="N42" i="37"/>
  <c r="G22" i="40"/>
  <c r="O22"/>
  <c r="Q5"/>
  <c r="S5"/>
  <c r="Q6"/>
  <c r="Q10"/>
  <c r="Q14"/>
  <c r="Q7"/>
  <c r="Q11"/>
  <c r="Q15"/>
  <c r="Q12"/>
  <c r="Q16"/>
  <c r="Q9"/>
  <c r="Q8"/>
  <c r="Q13"/>
  <c r="H37" i="42"/>
  <c r="H38"/>
  <c r="P36"/>
  <c r="J36"/>
  <c r="J37"/>
  <c r="J38"/>
  <c r="O34" i="40"/>
  <c r="H27" i="4"/>
  <c r="H32"/>
  <c r="E20"/>
  <c r="M20" i="42"/>
  <c r="O37"/>
  <c r="H56" i="8"/>
  <c r="H53"/>
  <c r="C6" i="43"/>
  <c r="H87" i="8"/>
  <c r="H55"/>
  <c r="H134"/>
  <c r="O40" i="42"/>
  <c r="E32"/>
  <c r="O32"/>
  <c r="S9" i="40"/>
  <c r="R9"/>
  <c r="T9"/>
  <c r="V9"/>
  <c r="T11"/>
  <c r="S11"/>
  <c r="R11"/>
  <c r="V11"/>
  <c r="R6"/>
  <c r="S6"/>
  <c r="V6"/>
  <c r="T6"/>
  <c r="S16"/>
  <c r="R16"/>
  <c r="T16"/>
  <c r="V16"/>
  <c r="T7"/>
  <c r="S7"/>
  <c r="R7"/>
  <c r="V7"/>
  <c r="R5"/>
  <c r="T5"/>
  <c r="Q17"/>
  <c r="V5"/>
  <c r="S13"/>
  <c r="R13"/>
  <c r="T13"/>
  <c r="V13"/>
  <c r="S12"/>
  <c r="R12"/>
  <c r="T12"/>
  <c r="V12"/>
  <c r="R14"/>
  <c r="S14"/>
  <c r="T14"/>
  <c r="V14"/>
  <c r="S8"/>
  <c r="R8"/>
  <c r="T8"/>
  <c r="V8"/>
  <c r="T15"/>
  <c r="S15"/>
  <c r="R15"/>
  <c r="V15"/>
  <c r="S10"/>
  <c r="R10"/>
  <c r="V10"/>
  <c r="T10"/>
  <c r="P37" i="42"/>
  <c r="I56" i="8"/>
  <c r="P38" i="42"/>
  <c r="Q11"/>
  <c r="D26" i="4"/>
  <c r="D38"/>
  <c r="R5" i="42"/>
  <c r="S5"/>
  <c r="S7"/>
  <c r="O41"/>
  <c r="O38"/>
  <c r="H78" i="8"/>
  <c r="H76"/>
  <c r="R9" i="42"/>
  <c r="S9"/>
  <c r="N20"/>
  <c r="J137" i="8"/>
  <c r="J144"/>
  <c r="H52"/>
  <c r="L51"/>
  <c r="L54"/>
  <c r="L83"/>
  <c r="L84"/>
  <c r="L89"/>
  <c r="L90"/>
  <c r="L100"/>
  <c r="L101"/>
  <c r="L112"/>
  <c r="L113"/>
  <c r="L125"/>
  <c r="L126"/>
  <c r="D20" i="4"/>
  <c r="D22"/>
  <c r="U5" i="40"/>
  <c r="U16"/>
  <c r="W15"/>
  <c r="X15"/>
  <c r="Y15"/>
  <c r="Y8"/>
  <c r="X8"/>
  <c r="W8"/>
  <c r="Y12"/>
  <c r="X12"/>
  <c r="W12"/>
  <c r="X5"/>
  <c r="W5"/>
  <c r="Y5"/>
  <c r="V17"/>
  <c r="S17"/>
  <c r="U11"/>
  <c r="X10"/>
  <c r="W10"/>
  <c r="Y10"/>
  <c r="U14"/>
  <c r="U13"/>
  <c r="W7"/>
  <c r="X7"/>
  <c r="Y7"/>
  <c r="X16"/>
  <c r="W16"/>
  <c r="Y16"/>
  <c r="U6"/>
  <c r="X11"/>
  <c r="W11"/>
  <c r="Y11"/>
  <c r="X9"/>
  <c r="W9"/>
  <c r="Y9"/>
  <c r="U10"/>
  <c r="X14"/>
  <c r="W14"/>
  <c r="Y14"/>
  <c r="X13"/>
  <c r="W13"/>
  <c r="Y13"/>
  <c r="U15"/>
  <c r="U8"/>
  <c r="U12"/>
  <c r="T17"/>
  <c r="R17"/>
  <c r="U7"/>
  <c r="X6"/>
  <c r="W6"/>
  <c r="Y6"/>
  <c r="U9"/>
  <c r="L36" i="42"/>
  <c r="L37"/>
  <c r="L38"/>
  <c r="J139" i="8"/>
  <c r="J55"/>
  <c r="K36" i="42"/>
  <c r="K135" i="8"/>
  <c r="G135"/>
  <c r="H85"/>
  <c r="T51"/>
  <c r="T54"/>
  <c r="T83"/>
  <c r="T84"/>
  <c r="T89"/>
  <c r="T90"/>
  <c r="T100"/>
  <c r="T101"/>
  <c r="T103"/>
  <c r="T104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41"/>
  <c r="T148"/>
  <c r="T149"/>
  <c r="T150"/>
  <c r="T151"/>
  <c r="T152"/>
  <c r="T153"/>
  <c r="T154"/>
  <c r="Z7" i="40"/>
  <c r="AA7"/>
  <c r="Z15"/>
  <c r="AA15"/>
  <c r="W17"/>
  <c r="Z6"/>
  <c r="AA6"/>
  <c r="Z14"/>
  <c r="AA14"/>
  <c r="U17"/>
  <c r="Z9"/>
  <c r="AA9"/>
  <c r="Z5"/>
  <c r="Y17"/>
  <c r="Z13"/>
  <c r="AA13"/>
  <c r="Z11"/>
  <c r="AA11"/>
  <c r="X17"/>
  <c r="Z8"/>
  <c r="AA8"/>
  <c r="Z16"/>
  <c r="AA16"/>
  <c r="Z10"/>
  <c r="AA10"/>
  <c r="Z12"/>
  <c r="AA12"/>
  <c r="K37" i="42"/>
  <c r="K38"/>
  <c r="Q36"/>
  <c r="M36"/>
  <c r="M37"/>
  <c r="M38"/>
  <c r="K137" i="8"/>
  <c r="S18" i="42"/>
  <c r="G142" i="8"/>
  <c r="Z17" i="40"/>
  <c r="AA5"/>
  <c r="AA17"/>
  <c r="R11" i="42"/>
  <c r="S11"/>
  <c r="Q37"/>
  <c r="J56" i="8"/>
  <c r="S20" i="42"/>
  <c r="G137" i="8"/>
  <c r="G144"/>
  <c r="Q38" i="42"/>
  <c r="N36"/>
  <c r="N37"/>
  <c r="N38"/>
  <c r="R36"/>
  <c r="S12"/>
  <c r="G139" i="8"/>
  <c r="G55"/>
  <c r="K139"/>
  <c r="K55"/>
  <c r="H27" i="38"/>
  <c r="E27"/>
  <c r="I16"/>
  <c r="D27"/>
  <c r="G17"/>
  <c r="H17"/>
  <c r="I17"/>
  <c r="J17"/>
  <c r="K17"/>
  <c r="L17"/>
  <c r="M17"/>
  <c r="N17"/>
  <c r="F21"/>
  <c r="G20"/>
  <c r="F20"/>
  <c r="F15"/>
  <c r="E23"/>
  <c r="F23"/>
  <c r="G23"/>
  <c r="F22"/>
  <c r="E24"/>
  <c r="D24"/>
  <c r="C24"/>
  <c r="H23"/>
  <c r="I23"/>
  <c r="J23"/>
  <c r="K23"/>
  <c r="L23"/>
  <c r="M23"/>
  <c r="N23"/>
  <c r="O23"/>
  <c r="S36" i="42"/>
  <c r="R37"/>
  <c r="K56" i="8"/>
  <c r="R38" i="42"/>
  <c r="O12" i="38"/>
  <c r="O8"/>
  <c r="E2"/>
  <c r="O6"/>
  <c r="I27"/>
  <c r="J27"/>
  <c r="K27"/>
  <c r="L27"/>
  <c r="E22"/>
  <c r="O28"/>
  <c r="J72" i="37"/>
  <c r="M71"/>
  <c r="L71"/>
  <c r="I71"/>
  <c r="H71"/>
  <c r="J70"/>
  <c r="M69"/>
  <c r="I49"/>
  <c r="K45"/>
  <c r="J45"/>
  <c r="I44"/>
  <c r="M38"/>
  <c r="H38"/>
  <c r="L36"/>
  <c r="J25"/>
  <c r="I25"/>
  <c r="G19" i="35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1"/>
  <c r="G18"/>
  <c r="S37" i="42"/>
  <c r="G56" i="8"/>
  <c r="S38" i="42"/>
  <c r="G52" i="35"/>
  <c r="G4"/>
  <c r="M27" i="38"/>
  <c r="H477" i="36"/>
  <c r="J477"/>
  <c r="J478"/>
  <c r="J489"/>
  <c r="J469"/>
  <c r="B469"/>
  <c r="J468"/>
  <c r="J470"/>
  <c r="F457"/>
  <c r="J457"/>
  <c r="F456"/>
  <c r="J456"/>
  <c r="J455"/>
  <c r="B455"/>
  <c r="B456"/>
  <c r="B457"/>
  <c r="F454"/>
  <c r="J454"/>
  <c r="H443"/>
  <c r="J443"/>
  <c r="H442"/>
  <c r="J442"/>
  <c r="B442"/>
  <c r="B443"/>
  <c r="H441"/>
  <c r="J441"/>
  <c r="J432"/>
  <c r="J431"/>
  <c r="J430"/>
  <c r="B430"/>
  <c r="B431"/>
  <c r="B432"/>
  <c r="J429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J298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J272"/>
  <c r="J263"/>
  <c r="J262"/>
  <c r="J261"/>
  <c r="J260"/>
  <c r="J251"/>
  <c r="J250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82"/>
  <c r="J181"/>
  <c r="J180"/>
  <c r="J179"/>
  <c r="J178"/>
  <c r="J177"/>
  <c r="J176"/>
  <c r="J175"/>
  <c r="J174"/>
  <c r="J173"/>
  <c r="H172"/>
  <c r="J172"/>
  <c r="J171"/>
  <c r="J170"/>
  <c r="J169"/>
  <c r="J168"/>
  <c r="J167"/>
  <c r="J166"/>
  <c r="J165"/>
  <c r="J164"/>
  <c r="J163"/>
  <c r="H162"/>
  <c r="J162"/>
  <c r="H161"/>
  <c r="J161"/>
  <c r="J160"/>
  <c r="J159"/>
  <c r="H158"/>
  <c r="J158"/>
  <c r="H157"/>
  <c r="J157"/>
  <c r="J156"/>
  <c r="J155"/>
  <c r="J154"/>
  <c r="J153"/>
  <c r="J152"/>
  <c r="J151"/>
  <c r="J150"/>
  <c r="H149"/>
  <c r="J149"/>
  <c r="H148"/>
  <c r="J148"/>
  <c r="J147"/>
  <c r="H146"/>
  <c r="J146"/>
  <c r="J145"/>
  <c r="J144"/>
  <c r="J143"/>
  <c r="J142"/>
  <c r="J141"/>
  <c r="J140"/>
  <c r="J132"/>
  <c r="J131"/>
  <c r="J130"/>
  <c r="J129"/>
  <c r="J128"/>
  <c r="J127"/>
  <c r="J126"/>
  <c r="J125"/>
  <c r="J124"/>
  <c r="J123"/>
  <c r="J115"/>
  <c r="J114"/>
  <c r="J113"/>
  <c r="J112"/>
  <c r="J111"/>
  <c r="J110"/>
  <c r="J109"/>
  <c r="J108"/>
  <c r="J107"/>
  <c r="J106"/>
  <c r="J105"/>
  <c r="J104"/>
  <c r="J103"/>
  <c r="J102"/>
  <c r="J101"/>
  <c r="J100"/>
  <c r="H99"/>
  <c r="G99"/>
  <c r="F99"/>
  <c r="J98"/>
  <c r="J97"/>
  <c r="J96"/>
  <c r="J95"/>
  <c r="J94"/>
  <c r="J93"/>
  <c r="H92"/>
  <c r="G92"/>
  <c r="F92"/>
  <c r="J91"/>
  <c r="H90"/>
  <c r="G90"/>
  <c r="F90"/>
  <c r="H89"/>
  <c r="G89"/>
  <c r="F89"/>
  <c r="J88"/>
  <c r="F87"/>
  <c r="J87"/>
  <c r="J86"/>
  <c r="H85"/>
  <c r="G85"/>
  <c r="F85"/>
  <c r="H84"/>
  <c r="J84"/>
  <c r="G84"/>
  <c r="F84"/>
  <c r="H83"/>
  <c r="J83"/>
  <c r="G83"/>
  <c r="H82"/>
  <c r="J82"/>
  <c r="G82"/>
  <c r="H81"/>
  <c r="G81"/>
  <c r="F81"/>
  <c r="J80"/>
  <c r="J79"/>
  <c r="H78"/>
  <c r="J78"/>
  <c r="G78"/>
  <c r="F78"/>
  <c r="J77"/>
  <c r="J76"/>
  <c r="H75"/>
  <c r="G75"/>
  <c r="F75"/>
  <c r="J74"/>
  <c r="J73"/>
  <c r="J72"/>
  <c r="J71"/>
  <c r="J70"/>
  <c r="J69"/>
  <c r="J68"/>
  <c r="J67"/>
  <c r="J66"/>
  <c r="J65"/>
  <c r="H64"/>
  <c r="G64"/>
  <c r="F64"/>
  <c r="J64"/>
  <c r="J63"/>
  <c r="J62"/>
  <c r="J61"/>
  <c r="H60"/>
  <c r="J60"/>
  <c r="G60"/>
  <c r="F60"/>
  <c r="J59"/>
  <c r="H58"/>
  <c r="G58"/>
  <c r="F58"/>
  <c r="H57"/>
  <c r="G57"/>
  <c r="F57"/>
  <c r="J56"/>
  <c r="J55"/>
  <c r="H54"/>
  <c r="J54"/>
  <c r="G54"/>
  <c r="F54"/>
  <c r="J53"/>
  <c r="J52"/>
  <c r="J51"/>
  <c r="J50"/>
  <c r="J49"/>
  <c r="J48"/>
  <c r="J47"/>
  <c r="J46"/>
  <c r="J45"/>
  <c r="J44"/>
  <c r="H43"/>
  <c r="G43"/>
  <c r="F43"/>
  <c r="J42"/>
  <c r="J41"/>
  <c r="J40"/>
  <c r="H39"/>
  <c r="G39"/>
  <c r="F39"/>
  <c r="H38"/>
  <c r="G38"/>
  <c r="F38"/>
  <c r="J38"/>
  <c r="J37"/>
  <c r="J36"/>
  <c r="H35"/>
  <c r="G35"/>
  <c r="F35"/>
  <c r="J35"/>
  <c r="H34"/>
  <c r="G34"/>
  <c r="F34"/>
  <c r="H33"/>
  <c r="G33"/>
  <c r="F33"/>
  <c r="H32"/>
  <c r="G32"/>
  <c r="F32"/>
  <c r="H31"/>
  <c r="G31"/>
  <c r="F31"/>
  <c r="H30"/>
  <c r="G30"/>
  <c r="F30"/>
  <c r="J29"/>
  <c r="J28"/>
  <c r="J27"/>
  <c r="J26"/>
  <c r="J25"/>
  <c r="H24"/>
  <c r="J24"/>
  <c r="G24"/>
  <c r="H23"/>
  <c r="G23"/>
  <c r="F23"/>
  <c r="J22"/>
  <c r="J21"/>
  <c r="J20"/>
  <c r="J19"/>
  <c r="J18"/>
  <c r="J17"/>
  <c r="H16"/>
  <c r="G16"/>
  <c r="F16"/>
  <c r="H15"/>
  <c r="G15"/>
  <c r="F15"/>
  <c r="J14"/>
  <c r="H14"/>
  <c r="G14"/>
  <c r="J13"/>
  <c r="J12"/>
  <c r="J11"/>
  <c r="J10"/>
  <c r="H9"/>
  <c r="G9"/>
  <c r="F9"/>
  <c r="J8"/>
  <c r="H7"/>
  <c r="J7"/>
  <c r="G7"/>
  <c r="J6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H5"/>
  <c r="G5"/>
  <c r="G10" i="35"/>
  <c r="G6"/>
  <c r="G5"/>
  <c r="H59" i="8"/>
  <c r="G3" i="35"/>
  <c r="G11"/>
  <c r="G12"/>
  <c r="G7"/>
  <c r="G13"/>
  <c r="G8"/>
  <c r="G14"/>
  <c r="G9"/>
  <c r="N27" i="38"/>
  <c r="O27"/>
  <c r="J31" i="36"/>
  <c r="J89"/>
  <c r="J32"/>
  <c r="J90"/>
  <c r="J252"/>
  <c r="J488"/>
  <c r="J99"/>
  <c r="J92"/>
  <c r="J81"/>
  <c r="J421"/>
  <c r="J493"/>
  <c r="J57"/>
  <c r="J75"/>
  <c r="J16"/>
  <c r="J39"/>
  <c r="J85"/>
  <c r="J34"/>
  <c r="J484"/>
  <c r="J291"/>
  <c r="J498"/>
  <c r="J242"/>
  <c r="J486"/>
  <c r="J30"/>
  <c r="J264"/>
  <c r="J487"/>
  <c r="J9"/>
  <c r="J15"/>
  <c r="J33"/>
  <c r="J433"/>
  <c r="J23"/>
  <c r="J43"/>
  <c r="J458"/>
  <c r="J496"/>
  <c r="J58"/>
  <c r="J444"/>
  <c r="J494"/>
  <c r="J485"/>
  <c r="G15" i="35"/>
  <c r="C8" i="43"/>
  <c r="D8"/>
  <c r="E8"/>
  <c r="F8"/>
  <c r="B8"/>
  <c r="I59" i="8"/>
  <c r="J59"/>
  <c r="K59"/>
  <c r="G59"/>
  <c r="J483" i="36"/>
  <c r="C141" i="13"/>
  <c r="P83" i="37"/>
  <c r="P85"/>
  <c r="C130" i="13"/>
  <c r="C143"/>
  <c r="J502" i="36"/>
  <c r="F86" i="37"/>
  <c r="C17" i="43"/>
  <c r="H57" i="8"/>
  <c r="G86" i="37"/>
  <c r="H86"/>
  <c r="P11" i="39"/>
  <c r="P9"/>
  <c r="P8"/>
  <c r="P6"/>
  <c r="P5"/>
  <c r="P4"/>
  <c r="P2"/>
  <c r="I86" i="37"/>
  <c r="D17" i="43"/>
  <c r="P7" i="39"/>
  <c r="I57" i="8"/>
  <c r="J86" i="37"/>
  <c r="D81"/>
  <c r="K86"/>
  <c r="D34" i="4"/>
  <c r="O30" i="38"/>
  <c r="O29"/>
  <c r="O26"/>
  <c r="O25"/>
  <c r="D23"/>
  <c r="C23"/>
  <c r="E21"/>
  <c r="D21"/>
  <c r="C21"/>
  <c r="E20"/>
  <c r="D20"/>
  <c r="O18"/>
  <c r="L15"/>
  <c r="L10"/>
  <c r="J15"/>
  <c r="J10"/>
  <c r="F10"/>
  <c r="H15"/>
  <c r="H10"/>
  <c r="E16"/>
  <c r="O16"/>
  <c r="M15"/>
  <c r="M10"/>
  <c r="K15"/>
  <c r="K10"/>
  <c r="I15"/>
  <c r="I10"/>
  <c r="G15"/>
  <c r="G10"/>
  <c r="E15"/>
  <c r="O14"/>
  <c r="O13"/>
  <c r="O9"/>
  <c r="O7"/>
  <c r="O5"/>
  <c r="O4"/>
  <c r="O3"/>
  <c r="N2"/>
  <c r="M2"/>
  <c r="L2"/>
  <c r="J2"/>
  <c r="H2"/>
  <c r="G2"/>
  <c r="F2"/>
  <c r="D2"/>
  <c r="O84" i="37"/>
  <c r="N84"/>
  <c r="M84"/>
  <c r="L84"/>
  <c r="K84"/>
  <c r="J84"/>
  <c r="I84"/>
  <c r="H84"/>
  <c r="G84"/>
  <c r="F84"/>
  <c r="E84"/>
  <c r="D84"/>
  <c r="O82"/>
  <c r="N82"/>
  <c r="M82"/>
  <c r="L82"/>
  <c r="K82"/>
  <c r="J82"/>
  <c r="I82"/>
  <c r="H82"/>
  <c r="G82"/>
  <c r="F82"/>
  <c r="E82"/>
  <c r="D82"/>
  <c r="P78"/>
  <c r="I74"/>
  <c r="O74"/>
  <c r="K74"/>
  <c r="J74"/>
  <c r="F74"/>
  <c r="E74"/>
  <c r="P72"/>
  <c r="F71"/>
  <c r="F70"/>
  <c r="P69"/>
  <c r="P68"/>
  <c r="P67"/>
  <c r="P65"/>
  <c r="P64"/>
  <c r="P63"/>
  <c r="F62"/>
  <c r="E62"/>
  <c r="P61"/>
  <c r="P59"/>
  <c r="P58"/>
  <c r="P57"/>
  <c r="P60"/>
  <c r="P55"/>
  <c r="P54"/>
  <c r="P52"/>
  <c r="P51"/>
  <c r="P50"/>
  <c r="P49"/>
  <c r="P48"/>
  <c r="P47"/>
  <c r="P46"/>
  <c r="P41"/>
  <c r="P40"/>
  <c r="P39"/>
  <c r="P35"/>
  <c r="P34"/>
  <c r="P33"/>
  <c r="P32"/>
  <c r="P31"/>
  <c r="P27"/>
  <c r="P23"/>
  <c r="P22"/>
  <c r="P21"/>
  <c r="P20"/>
  <c r="P19"/>
  <c r="F18"/>
  <c r="E18"/>
  <c r="P17"/>
  <c r="P15"/>
  <c r="P12"/>
  <c r="P11"/>
  <c r="P9"/>
  <c r="K5"/>
  <c r="P7"/>
  <c r="L5"/>
  <c r="H5"/>
  <c r="O5"/>
  <c r="J5"/>
  <c r="P4"/>
  <c r="P3"/>
  <c r="O3"/>
  <c r="N3"/>
  <c r="M3"/>
  <c r="L3"/>
  <c r="K3"/>
  <c r="J3"/>
  <c r="I3"/>
  <c r="H3"/>
  <c r="G3"/>
  <c r="F3"/>
  <c r="E3"/>
  <c r="O2" i="38"/>
  <c r="G32"/>
  <c r="D15"/>
  <c r="D10"/>
  <c r="D32"/>
  <c r="E10"/>
  <c r="E32"/>
  <c r="O19"/>
  <c r="L32"/>
  <c r="L86" i="37"/>
  <c r="E17" i="43"/>
  <c r="P82" i="37"/>
  <c r="K87"/>
  <c r="J87"/>
  <c r="H87"/>
  <c r="P84"/>
  <c r="F32" i="38"/>
  <c r="M32"/>
  <c r="J32"/>
  <c r="H32"/>
  <c r="I32"/>
  <c r="P73" i="37"/>
  <c r="P75"/>
  <c r="M74"/>
  <c r="P77"/>
  <c r="F5"/>
  <c r="E92"/>
  <c r="P14"/>
  <c r="P16"/>
  <c r="P45"/>
  <c r="G74"/>
  <c r="P29"/>
  <c r="P37"/>
  <c r="P8"/>
  <c r="P13"/>
  <c r="P25"/>
  <c r="P30"/>
  <c r="P43"/>
  <c r="P53"/>
  <c r="N15" i="38"/>
  <c r="N10"/>
  <c r="N32"/>
  <c r="O17"/>
  <c r="O15"/>
  <c r="O10"/>
  <c r="K2"/>
  <c r="K32"/>
  <c r="I5" i="37"/>
  <c r="P18"/>
  <c r="P36"/>
  <c r="P42"/>
  <c r="P62"/>
  <c r="P66"/>
  <c r="P80"/>
  <c r="P79"/>
  <c r="P70"/>
  <c r="M5"/>
  <c r="G5"/>
  <c r="P24"/>
  <c r="P26"/>
  <c r="P38"/>
  <c r="P44"/>
  <c r="P56"/>
  <c r="P71"/>
  <c r="P76"/>
  <c r="P6"/>
  <c r="P10"/>
  <c r="P28"/>
  <c r="H74"/>
  <c r="L74"/>
  <c r="K92"/>
  <c r="F23" i="4"/>
  <c r="O32" i="38"/>
  <c r="J57" i="8"/>
  <c r="N92" i="37"/>
  <c r="F16" i="43"/>
  <c r="K71" i="8"/>
  <c r="P74" i="37"/>
  <c r="P5"/>
  <c r="H92"/>
  <c r="E16" i="43"/>
  <c r="J71" i="8"/>
  <c r="G37" i="38"/>
  <c r="D9" i="43"/>
  <c r="I60" i="8"/>
  <c r="J37" i="38"/>
  <c r="E9" i="43"/>
  <c r="J60" i="8"/>
  <c r="M37" i="38"/>
  <c r="F9" i="43"/>
  <c r="K60" i="8"/>
  <c r="D37" i="38"/>
  <c r="C16" i="43"/>
  <c r="L87" i="37"/>
  <c r="M86"/>
  <c r="E87"/>
  <c r="G87"/>
  <c r="F87"/>
  <c r="I87"/>
  <c r="O37" i="38"/>
  <c r="P92" i="37"/>
  <c r="D16" i="43"/>
  <c r="I71" i="8"/>
  <c r="P89" i="37"/>
  <c r="C9" i="43"/>
  <c r="C38"/>
  <c r="O38" i="38"/>
  <c r="H60" i="8"/>
  <c r="H71"/>
  <c r="H81"/>
  <c r="N86" i="37"/>
  <c r="N87"/>
  <c r="M87"/>
  <c r="E34" i="4"/>
  <c r="F34"/>
  <c r="G34"/>
  <c r="E30"/>
  <c r="E33"/>
  <c r="B9" i="43"/>
  <c r="F33" i="4"/>
  <c r="G33"/>
  <c r="E38"/>
  <c r="G71" i="8"/>
  <c r="B16" i="43"/>
  <c r="G60" i="8"/>
  <c r="E21" i="4"/>
  <c r="O86" i="37"/>
  <c r="F30" i="4"/>
  <c r="P86" i="37"/>
  <c r="P87"/>
  <c r="O87"/>
  <c r="F17" i="43"/>
  <c r="G21" i="4"/>
  <c r="G22"/>
  <c r="G38"/>
  <c r="E22"/>
  <c r="E18" i="43"/>
  <c r="J78" i="8"/>
  <c r="J39"/>
  <c r="F21" i="4"/>
  <c r="C40" i="43"/>
  <c r="C42"/>
  <c r="G30" i="4"/>
  <c r="K57" i="8"/>
  <c r="G57"/>
  <c r="B17" i="43"/>
  <c r="H21" i="4"/>
  <c r="K39" i="8"/>
  <c r="G39"/>
  <c r="H30" i="4"/>
  <c r="I78" i="8"/>
  <c r="I76"/>
  <c r="F18" i="43"/>
  <c r="B18"/>
  <c r="B22"/>
  <c r="H14" i="4"/>
  <c r="H13"/>
  <c r="H7"/>
  <c r="K78" i="8"/>
  <c r="T39"/>
  <c r="H5" i="4"/>
  <c r="H6"/>
  <c r="H8"/>
  <c r="H15"/>
  <c r="K76" i="8"/>
  <c r="G78"/>
  <c r="G76"/>
  <c r="D141" i="13"/>
  <c r="E141"/>
  <c r="F141"/>
  <c r="D142" i="8"/>
  <c r="D143"/>
  <c r="D144"/>
  <c r="D145"/>
  <c r="D146"/>
  <c r="D147"/>
  <c r="F149"/>
  <c r="F150"/>
  <c r="F151"/>
  <c r="F152"/>
  <c r="F153"/>
  <c r="F154"/>
  <c r="T43"/>
  <c r="D127"/>
  <c r="D105"/>
  <c r="I45"/>
  <c r="E9" i="13"/>
  <c r="E10"/>
  <c r="E1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1"/>
  <c r="E82"/>
  <c r="E83"/>
  <c r="E84"/>
  <c r="E86"/>
  <c r="E87"/>
  <c r="E88"/>
  <c r="E89"/>
  <c r="E90"/>
  <c r="E91"/>
  <c r="E93"/>
  <c r="E94"/>
  <c r="E95"/>
  <c r="E96"/>
  <c r="E97"/>
  <c r="E98"/>
  <c r="E99"/>
  <c r="E100"/>
  <c r="E101"/>
  <c r="E102"/>
  <c r="E103"/>
  <c r="E104"/>
  <c r="E105"/>
  <c r="E107"/>
  <c r="E108"/>
  <c r="E109"/>
  <c r="E110"/>
  <c r="E111"/>
  <c r="E113"/>
  <c r="E114"/>
  <c r="E115"/>
  <c r="E116"/>
  <c r="E117"/>
  <c r="E118"/>
  <c r="E119"/>
  <c r="E120"/>
  <c r="E121"/>
  <c r="E122"/>
  <c r="E123"/>
  <c r="T78" i="8"/>
  <c r="T92"/>
  <c r="T95"/>
  <c r="T96"/>
  <c r="T70"/>
  <c r="T68"/>
  <c r="T69"/>
  <c r="T79"/>
  <c r="K47"/>
  <c r="T63"/>
  <c r="C134" i="13"/>
  <c r="D149"/>
  <c r="C150"/>
  <c r="E143"/>
  <c r="G111" i="8"/>
  <c r="L111"/>
  <c r="G110"/>
  <c r="L110"/>
  <c r="G109"/>
  <c r="L109"/>
  <c r="G108"/>
  <c r="L108"/>
  <c r="G107"/>
  <c r="L107"/>
  <c r="G106"/>
  <c r="L106"/>
  <c r="G104"/>
  <c r="L104"/>
  <c r="G103"/>
  <c r="L103"/>
  <c r="G148"/>
  <c r="D107"/>
  <c r="D91"/>
  <c r="D76"/>
  <c r="D62"/>
  <c r="D48"/>
  <c r="D44"/>
  <c r="D40"/>
  <c r="H28" i="4"/>
  <c r="E151" i="13"/>
  <c r="T42" i="8"/>
  <c r="H45"/>
  <c r="H46"/>
  <c r="T46"/>
  <c r="H47"/>
  <c r="T47"/>
  <c r="I47"/>
  <c r="H50"/>
  <c r="I50"/>
  <c r="T86"/>
  <c r="T88"/>
  <c r="T98"/>
  <c r="T99"/>
  <c r="F151" i="13"/>
  <c r="E150"/>
  <c r="D150"/>
  <c r="D151"/>
  <c r="C151"/>
  <c r="F150"/>
  <c r="K50" i="8"/>
  <c r="J50"/>
  <c r="I49"/>
  <c r="I105"/>
  <c r="H49"/>
  <c r="H105"/>
  <c r="J45"/>
  <c r="J47"/>
  <c r="T97"/>
  <c r="H36" i="4"/>
  <c r="H37"/>
  <c r="J49" i="8"/>
  <c r="K45"/>
  <c r="H44"/>
  <c r="T44"/>
  <c r="T50"/>
  <c r="H48"/>
  <c r="T48"/>
  <c r="T45"/>
  <c r="G43"/>
  <c r="T66"/>
  <c r="T105"/>
  <c r="T49"/>
  <c r="D102"/>
  <c r="T64"/>
  <c r="E106" i="13"/>
  <c r="E112"/>
  <c r="E8"/>
  <c r="F143"/>
  <c r="F144"/>
  <c r="E92"/>
  <c r="G92" i="8"/>
  <c r="T128"/>
  <c r="F109"/>
  <c r="J105"/>
  <c r="J102"/>
  <c r="I102"/>
  <c r="I46"/>
  <c r="I44"/>
  <c r="G79"/>
  <c r="G45"/>
  <c r="G88"/>
  <c r="F104"/>
  <c r="F111"/>
  <c r="D72"/>
  <c r="G68"/>
  <c r="G69"/>
  <c r="G42"/>
  <c r="K49"/>
  <c r="F108"/>
  <c r="D152" i="13"/>
  <c r="F110" i="8"/>
  <c r="G66"/>
  <c r="I48"/>
  <c r="G50"/>
  <c r="J76"/>
  <c r="F148"/>
  <c r="E144" i="13"/>
  <c r="G63" i="8"/>
  <c r="G47"/>
  <c r="J48"/>
  <c r="D80"/>
  <c r="F103"/>
  <c r="F106"/>
  <c r="E149" i="13"/>
  <c r="C149"/>
  <c r="T73" i="8"/>
  <c r="D143" i="13"/>
  <c r="F149"/>
  <c r="H29" i="4"/>
  <c r="T77" i="8"/>
  <c r="L79"/>
  <c r="L96"/>
  <c r="L78"/>
  <c r="L68"/>
  <c r="L95"/>
  <c r="L63"/>
  <c r="L98"/>
  <c r="L88"/>
  <c r="L66"/>
  <c r="L47"/>
  <c r="L50"/>
  <c r="L43"/>
  <c r="L45"/>
  <c r="L42"/>
  <c r="H102"/>
  <c r="T102"/>
  <c r="L69"/>
  <c r="F92"/>
  <c r="L92"/>
  <c r="E23" i="4"/>
  <c r="G64" i="8"/>
  <c r="D81"/>
  <c r="D82"/>
  <c r="F98"/>
  <c r="K48"/>
  <c r="G23" i="4"/>
  <c r="J46" i="8"/>
  <c r="J44"/>
  <c r="H33" i="4"/>
  <c r="F88" i="8"/>
  <c r="F96"/>
  <c r="F95"/>
  <c r="F152" i="13"/>
  <c r="G86" i="8"/>
  <c r="C152" i="13"/>
  <c r="F69" i="8"/>
  <c r="T76"/>
  <c r="C144" i="13"/>
  <c r="T57" i="8"/>
  <c r="H35" i="4"/>
  <c r="D144" i="13"/>
  <c r="E152"/>
  <c r="F107" i="8"/>
  <c r="K105"/>
  <c r="G49"/>
  <c r="L70"/>
  <c r="L77"/>
  <c r="L64"/>
  <c r="L86"/>
  <c r="L49"/>
  <c r="F99"/>
  <c r="L99"/>
  <c r="T71"/>
  <c r="F70"/>
  <c r="F64"/>
  <c r="T133"/>
  <c r="F79"/>
  <c r="G48"/>
  <c r="K46"/>
  <c r="H34" i="4"/>
  <c r="F68" i="8"/>
  <c r="F78"/>
  <c r="K102"/>
  <c r="G105"/>
  <c r="L73"/>
  <c r="F50"/>
  <c r="F66"/>
  <c r="F86"/>
  <c r="T59"/>
  <c r="F47"/>
  <c r="F63"/>
  <c r="L57"/>
  <c r="L133"/>
  <c r="L76"/>
  <c r="L105"/>
  <c r="L48"/>
  <c r="L39"/>
  <c r="L128"/>
  <c r="T75"/>
  <c r="T94"/>
  <c r="T74"/>
  <c r="T93"/>
  <c r="F128"/>
  <c r="G46"/>
  <c r="K44"/>
  <c r="G44"/>
  <c r="F77"/>
  <c r="F133"/>
  <c r="G102"/>
  <c r="T131"/>
  <c r="F49"/>
  <c r="T58"/>
  <c r="T65"/>
  <c r="T61"/>
  <c r="T129"/>
  <c r="T132"/>
  <c r="L132"/>
  <c r="L46"/>
  <c r="L102"/>
  <c r="G97"/>
  <c r="T72"/>
  <c r="T91"/>
  <c r="I75"/>
  <c r="F48"/>
  <c r="F73"/>
  <c r="F76"/>
  <c r="F57"/>
  <c r="F105"/>
  <c r="F132"/>
  <c r="T67"/>
  <c r="L44"/>
  <c r="L97"/>
  <c r="F97"/>
  <c r="I74"/>
  <c r="I62"/>
  <c r="I91"/>
  <c r="F102"/>
  <c r="I72"/>
  <c r="L131"/>
  <c r="L129"/>
  <c r="T60"/>
  <c r="T62"/>
  <c r="F131"/>
  <c r="T130"/>
  <c r="F129"/>
  <c r="J75"/>
  <c r="H127"/>
  <c r="T127"/>
  <c r="J74"/>
  <c r="I127"/>
  <c r="J62"/>
  <c r="J91"/>
  <c r="T41"/>
  <c r="J72"/>
  <c r="L130"/>
  <c r="J127"/>
  <c r="T138"/>
  <c r="F130"/>
  <c r="K127"/>
  <c r="H80"/>
  <c r="L127"/>
  <c r="T40"/>
  <c r="G67"/>
  <c r="E127"/>
  <c r="F127"/>
  <c r="T145"/>
  <c r="H82"/>
  <c r="L67"/>
  <c r="T80"/>
  <c r="K75"/>
  <c r="G94"/>
  <c r="G75"/>
  <c r="T140"/>
  <c r="K62"/>
  <c r="G62"/>
  <c r="L65"/>
  <c r="L59"/>
  <c r="L94"/>
  <c r="H146"/>
  <c r="T146"/>
  <c r="T139"/>
  <c r="F94"/>
  <c r="F75"/>
  <c r="K74"/>
  <c r="F67"/>
  <c r="T137"/>
  <c r="K91"/>
  <c r="G91"/>
  <c r="H147"/>
  <c r="T147"/>
  <c r="K72"/>
  <c r="G72"/>
  <c r="L75"/>
  <c r="L62"/>
  <c r="G74"/>
  <c r="L93"/>
  <c r="F65"/>
  <c r="G61"/>
  <c r="F93"/>
  <c r="F74"/>
  <c r="F59"/>
  <c r="I80"/>
  <c r="H144"/>
  <c r="T144"/>
  <c r="L61"/>
  <c r="L91"/>
  <c r="L74"/>
  <c r="L71"/>
  <c r="F62"/>
  <c r="F26" i="4"/>
  <c r="I146" i="8"/>
  <c r="I145"/>
  <c r="F91"/>
  <c r="F20" i="4"/>
  <c r="F38"/>
  <c r="L72" i="8"/>
  <c r="I147"/>
  <c r="F61"/>
  <c r="F22" i="4"/>
  <c r="H20"/>
  <c r="K145" i="8"/>
  <c r="K147"/>
  <c r="J80"/>
  <c r="F72"/>
  <c r="H22" i="4"/>
  <c r="B44" i="43"/>
  <c r="L60" i="8"/>
  <c r="L138"/>
  <c r="T55"/>
  <c r="F60"/>
  <c r="T135"/>
  <c r="F138"/>
  <c r="G145"/>
  <c r="J145"/>
  <c r="I144"/>
  <c r="J146"/>
  <c r="T56"/>
  <c r="L140"/>
  <c r="T142"/>
  <c r="F145"/>
  <c r="J147"/>
  <c r="F140"/>
  <c r="G147"/>
  <c r="H26" i="4"/>
  <c r="H38"/>
  <c r="L41" i="8"/>
  <c r="K80"/>
  <c r="G80"/>
  <c r="F147"/>
  <c r="L139"/>
  <c r="L40"/>
  <c r="F139"/>
  <c r="G146"/>
  <c r="K146"/>
  <c r="L137"/>
  <c r="L80"/>
  <c r="H23" i="4"/>
  <c r="F146" i="8"/>
  <c r="F137"/>
  <c r="I142"/>
  <c r="F144"/>
  <c r="K144"/>
  <c r="J142"/>
  <c r="F80"/>
  <c r="L135"/>
  <c r="F135"/>
  <c r="K142"/>
  <c r="F142"/>
  <c r="L55"/>
  <c r="L56"/>
  <c r="F55"/>
  <c r="F56"/>
  <c r="T136"/>
  <c r="T52"/>
  <c r="T53"/>
  <c r="T85"/>
  <c r="H143"/>
  <c r="T143"/>
  <c r="T134"/>
  <c r="T81"/>
  <c r="T87"/>
  <c r="T82"/>
  <c r="F52"/>
  <c r="F53"/>
  <c r="G58"/>
  <c r="L58"/>
  <c r="F58"/>
  <c r="F81"/>
  <c r="F82"/>
  <c r="G30" i="42"/>
  <c r="G31"/>
  <c r="H30"/>
  <c r="H31"/>
  <c r="P31"/>
  <c r="G32"/>
  <c r="P14"/>
  <c r="F32"/>
  <c r="I30"/>
  <c r="I31"/>
  <c r="I136" i="8"/>
  <c r="H32" i="42"/>
  <c r="P32"/>
  <c r="J30"/>
  <c r="J31"/>
  <c r="D6" i="43"/>
  <c r="I87" i="8"/>
  <c r="P40" i="42"/>
  <c r="K30"/>
  <c r="K31"/>
  <c r="Q31"/>
  <c r="I134" i="8"/>
  <c r="I143"/>
  <c r="I53"/>
  <c r="P41" i="42"/>
  <c r="D38" i="43"/>
  <c r="I32" i="42"/>
  <c r="Q14"/>
  <c r="J32"/>
  <c r="I52" i="8"/>
  <c r="L30" i="42"/>
  <c r="L31"/>
  <c r="I81" i="8"/>
  <c r="M30" i="42"/>
  <c r="M31"/>
  <c r="J136" i="8"/>
  <c r="I85"/>
  <c r="I82"/>
  <c r="D40" i="43"/>
  <c r="D42"/>
  <c r="K32" i="42"/>
  <c r="Q32"/>
  <c r="Q41"/>
  <c r="J53" i="8"/>
  <c r="E6" i="43"/>
  <c r="J87" i="8"/>
  <c r="J134"/>
  <c r="J143"/>
  <c r="Q40" i="42"/>
  <c r="N30"/>
  <c r="N31"/>
  <c r="R31"/>
  <c r="S31"/>
  <c r="S16"/>
  <c r="E38" i="43"/>
  <c r="R14" i="42"/>
  <c r="S14"/>
  <c r="J52" i="8"/>
  <c r="J81"/>
  <c r="M32" i="42"/>
  <c r="L32"/>
  <c r="E40" i="43"/>
  <c r="E42"/>
  <c r="J82" i="8"/>
  <c r="J85"/>
  <c r="K136"/>
  <c r="S30" i="42"/>
  <c r="G52" i="8"/>
  <c r="L52"/>
  <c r="G136"/>
  <c r="R40" i="42"/>
  <c r="N32"/>
  <c r="R32"/>
  <c r="S32"/>
  <c r="K143" i="8"/>
  <c r="K134"/>
  <c r="R41" i="42"/>
  <c r="S41"/>
  <c r="K53" i="8"/>
  <c r="G53"/>
  <c r="L53"/>
  <c r="F6" i="43"/>
  <c r="K87" i="8"/>
  <c r="F38" i="43"/>
  <c r="K52" i="8"/>
  <c r="K81"/>
  <c r="G81"/>
  <c r="S40" i="42"/>
  <c r="S43"/>
  <c r="G87" i="8"/>
  <c r="B6" i="43"/>
  <c r="F136" i="8"/>
  <c r="G134"/>
  <c r="G143"/>
  <c r="F143"/>
  <c r="L136"/>
  <c r="B5" i="43"/>
  <c r="G82" i="8"/>
  <c r="B38" i="43"/>
  <c r="F87" i="8"/>
  <c r="L87"/>
  <c r="K85"/>
  <c r="G85"/>
  <c r="B21" i="43"/>
  <c r="L134" i="8"/>
  <c r="F134"/>
  <c r="K82"/>
  <c r="F40" i="43"/>
  <c r="F42"/>
  <c r="B43"/>
  <c r="B45"/>
  <c r="F85" i="8"/>
  <c r="L85"/>
  <c r="L81"/>
  <c r="L82"/>
  <c r="B40" i="43"/>
  <c r="B42"/>
</calcChain>
</file>

<file path=xl/sharedStrings.xml><?xml version="1.0" encoding="utf-8"?>
<sst xmlns="http://schemas.openxmlformats.org/spreadsheetml/2006/main" count="3526" uniqueCount="1972">
  <si>
    <t>Тест система для визначення ПСА (імунофлуоресцнтний метод)</t>
  </si>
  <si>
    <t>Визначення ПСА імунофлуоресцнтний метод №25 LS-1100</t>
  </si>
  <si>
    <t>Тест система для визначення D-димер (імунофлуоресцнтний метод)</t>
  </si>
  <si>
    <t>Визначення D-димера імунофлуоресцнтний метод №25 LS-110</t>
  </si>
  <si>
    <t>Тест система для визначення глікований гемоглобін (імунофлуоресцнтний метод)</t>
  </si>
  <si>
    <t>Визначення  глісованого гемоглобіну імунофлуоресцнтний метод №25 LS-1100</t>
  </si>
  <si>
    <t>Тест система для визначення СРБ (імунофлуоресцнтний метод)</t>
  </si>
  <si>
    <t>Визначення СРБ імунофлуоресцнтний метод №25 LS-1100</t>
  </si>
  <si>
    <t>Контрольна плазма нормальна HemoStar</t>
  </si>
  <si>
    <t>Контрольна плазма для визначення протромбінового часу 6*1мл</t>
  </si>
  <si>
    <t>Контрольна плазма патологія HemoStar</t>
  </si>
  <si>
    <t>Забарвлення за Цілем-Нільсеном HP030.03</t>
  </si>
  <si>
    <t>Набір для диференціального зафарбовування мікробактерій туберкульозу в клініко-діагностичних лабораторіях, розрахований на проведення 200 аналізів</t>
  </si>
  <si>
    <t>Тест система для визначення прокальцитоніну (імунофлуоресцнтний метод)</t>
  </si>
  <si>
    <t>Визначення прокальцитоніну імунофлуоресцнтний метод №25 LS-1100</t>
  </si>
  <si>
    <t>33600000-6 Фармацевтична продукція: наркотичні засоби та психотропні речовини</t>
  </si>
  <si>
    <t>24455000-8 — Дезинфекційні засоби</t>
  </si>
  <si>
    <t>Праймдезим 5 л. Аніозим 5л</t>
  </si>
  <si>
    <t>ДК 021:2015 33140000-3 Медичні матеріали</t>
  </si>
  <si>
    <t>пог.м</t>
  </si>
  <si>
    <t>Рукавиці стер. хір. р.7 з пудрою</t>
  </si>
  <si>
    <t>Рукавиці стер. хір. р.7,5 з пудрою</t>
  </si>
  <si>
    <t>Рукавиці стер. хір. р.8 з пудрою</t>
  </si>
  <si>
    <t>Ланцет захищений  р.26 G (1,8  мм глибина) жовтий №1</t>
  </si>
  <si>
    <t>Катетер Фолея №22 (3-ох ходовий)</t>
  </si>
  <si>
    <t>Катетер Фолея №24 (3-ох ходовий)</t>
  </si>
  <si>
    <t>Комплект для епідуральної анестезії G18</t>
  </si>
  <si>
    <t>Нитка хірургічна, USP2/0 (М3), ПОЛІАМІД, кручена, біла, (котушка 250 метрів) (131316)</t>
  </si>
  <si>
    <t>Нитка хірургічна, USP1 (М4), ПОЛІАМІД, кручена, біла, (котушка 130 метрів) (131318)</t>
  </si>
  <si>
    <t>Нитка хірургічна, USP2 (М5), ПОЛІАМІД, кручена, біла, (котушка 80 метрів) (131319)</t>
  </si>
  <si>
    <t>Нитка хірургічна стерильна,  USP0 (М4), КЕТГУТ ПОЛІРОВАНИЙ,   відрізок 1,5м (262001)</t>
  </si>
  <si>
    <t>W9431 Вікрил фіолетовий 90см M4 USP1 1-голка CT, Taper Point, 40мм</t>
  </si>
  <si>
    <t>Нитка хірургічна стерильна,  USP1 (М4), ПОЛІПРОПІЛЕН, монофіламентна, синя, відрізок 1,5м (252001)</t>
  </si>
  <si>
    <t>Нитка хірургічна стерильна,  USP2/0 (М3), ПОЛІПРОПІЛЕН, монофіламентна, синя, відрізок 1,5м (252003)</t>
  </si>
  <si>
    <t>Нитка хірургічна стерильна,  USP3/0 (М2), ПОЛІПРОПІЛЕН, монофіламентна, синя, відрізок 1,5м (252004)</t>
  </si>
  <si>
    <t>Нитка хірургічна стерильна,  USP2 (М5), ПОЛІПРОПІЛЕН, монофіламентна, синя, відрізок 1,5м (252005)</t>
  </si>
  <si>
    <t>Пов’язка гідрогелева медична стерильна, 2мм, армована сіткою, РАНОЗАГОЮЮЧА (з метилурацилом), 6х10 см</t>
  </si>
  <si>
    <t>Голка атравматична, USP2/0 (М3), 26 мм, 1/2, колюча, кругле тіло, одноголкова, ПОЛІПРОПІЛЕН, монофіламентна, синя, 75 см (452041)</t>
  </si>
  <si>
    <t>Голка атравматична, USP3/0 (М2), 26 мм, 1/2, колюча, кругле тіло, одноголкова, ПОЛІПРОПІЛЕН, монофіламентна, синя, 75 см (452108)</t>
  </si>
  <si>
    <t xml:space="preserve">Комплект акушерський № 1, стерильний    (одноразового використання)                                                                                               </t>
  </si>
  <si>
    <t xml:space="preserve">Комплект для кесарева розтину № 26.2 стерильний  (одноразового використання) </t>
  </si>
  <si>
    <t xml:space="preserve">Фартух медичний 110 см, стерильний  (одноразового використання) </t>
  </si>
  <si>
    <t>Халат 140 см, СМС щ.30 г/м2, XXL, рукав-манжет 1 шт</t>
  </si>
  <si>
    <t>Халат 140 см, СМС щ.30 г/м2, XL, рукав-манжет 1 шт</t>
  </si>
  <si>
    <t>Халат 140 см, СМС щ.30 г/м2, L, рукав-манжет 1 шт</t>
  </si>
  <si>
    <t>Халат 140 см, СМС щ.30 г/м2, М, рукав-манжет 1 шт</t>
  </si>
  <si>
    <t>Халат 140 см, СМС щ.30 г/м2, S, рукав-манжет 1 шт</t>
  </si>
  <si>
    <t>Халат 130 см, із переднею вологонепроникною поверхнею, XL, 1 шт.</t>
  </si>
  <si>
    <t xml:space="preserve">Шапочка -берет, нестерильна </t>
  </si>
  <si>
    <t>Набір гінекологічний одноразовий(пеленка+рукавиці)стер.</t>
  </si>
  <si>
    <t>Предметне скло №50</t>
  </si>
  <si>
    <t>Cтрічка діаграмна 112*100*150</t>
  </si>
  <si>
    <t>Cтрічка діаграмна 112*120*250</t>
  </si>
  <si>
    <t>Силіконовий катетер Фолея 3-х ходовий 22</t>
  </si>
  <si>
    <t>Силіконовий катетер Фолея 3-х ходовий 24</t>
  </si>
  <si>
    <t>Комплект для цистостоиії 12 F</t>
  </si>
  <si>
    <t xml:space="preserve">ДК 021:2015: 33140000-3 Медичні матеріали: </t>
  </si>
  <si>
    <t xml:space="preserve">Нітиноловий кошик для літоекстракції без кінчика - 3french 2 штуки  </t>
  </si>
  <si>
    <t xml:space="preserve">Нітиноловий кошик для літоекстракції з кінчиком - 3french  2 штуки  </t>
  </si>
  <si>
    <t xml:space="preserve">Нітиноловий провідник з прямим кінчиком (Кобра) - 0.032"  1 штуки </t>
  </si>
  <si>
    <t xml:space="preserve">Силіконовий катетер Фолея 2-х ходовий (відкритий кінчик) - 12french 20 штуки </t>
  </si>
  <si>
    <t>ДК 021:2015: 33170000-2 - Обладнання для анестезії та реанімації: 33171000-9 - Анестезійні та реанімаційні інструменти:</t>
  </si>
  <si>
    <t>Голка з ізоляцією для провідникової анестезії А22G*2'', 0,70*50мм</t>
  </si>
  <si>
    <t>Голка з ізоляцією для провідникової анестезії А21G*4'', 0,80*100мм</t>
  </si>
  <si>
    <t>Голка з ізоляцією для провідникової анестезії А21G*2'', 0,80*50мм</t>
  </si>
  <si>
    <t>32350000-1 - Частини до аудіо- та відеообладнання</t>
  </si>
  <si>
    <t>Плівка радіографічна стоматологічна медична 3*4 №150</t>
  </si>
  <si>
    <t>Суха медична плівка DRYSTAR DT 5.000I B 100 20x25cmх100 (8х10 дюймів)</t>
  </si>
  <si>
    <t>Суха медична плівка DRYSTAR DT 5.000I B 100 35x43cmх100 (14х17 дюймів)</t>
  </si>
  <si>
    <t>Формалін 37% 5,5 кг</t>
  </si>
  <si>
    <t>24320000-3: Основні органічні хімічні речовини: Формалін 37% 5,5 кг</t>
  </si>
  <si>
    <t>33696000-5 Реактиви та контрастні речовини:</t>
  </si>
  <si>
    <t>33140000-3 Медичні матеріали</t>
  </si>
  <si>
    <t>Обладнання для анестезії та реанімації</t>
  </si>
  <si>
    <t>33170000-2 - Обладнання для анестезії та реанімації: 33171000-9 - Анестезійні та реанімаційні інструменти</t>
  </si>
  <si>
    <t>33140000-3 Медичні матеріали:</t>
  </si>
  <si>
    <t>24455000-8 — Дезинфекційні засоби:</t>
  </si>
  <si>
    <t>Родзинки , посипка</t>
  </si>
  <si>
    <t>програма підтримки та розвитку вторинної медичної допомоги</t>
  </si>
  <si>
    <t>Програма підтримки та розвитку вторинної медичної допомоги</t>
  </si>
  <si>
    <t xml:space="preserve">Оплата комунальних послуг та енергоносіїв </t>
  </si>
  <si>
    <t xml:space="preserve">оплата комунальних послуг та енергоносіїв </t>
  </si>
  <si>
    <t xml:space="preserve">Ціна </t>
  </si>
  <si>
    <t>Електроенергія</t>
  </si>
  <si>
    <t>Тріска паливна</t>
  </si>
  <si>
    <t>Освітлювальна площа</t>
  </si>
  <si>
    <t>Опалювальна площа</t>
  </si>
  <si>
    <t>Площа орендарів</t>
  </si>
  <si>
    <t>Ціна</t>
  </si>
  <si>
    <t>Сумв (грн)</t>
  </si>
  <si>
    <t>Власні кошти (грн.)</t>
  </si>
  <si>
    <t>Місцевий бюджет, грн.</t>
  </si>
  <si>
    <t>Інші енергоносії (утилізація сміття)</t>
  </si>
  <si>
    <t xml:space="preserve">Загальна площа </t>
  </si>
  <si>
    <t>Інші енергоносії разом</t>
  </si>
  <si>
    <t>Премії</t>
  </si>
  <si>
    <t>Економіст</t>
  </si>
  <si>
    <t>Малофєєв О.М.</t>
  </si>
  <si>
    <t>Хомярчук А.А.</t>
  </si>
  <si>
    <t>Вірна І.В.</t>
  </si>
  <si>
    <t>Фахівець з питань мобілізаційної роботи</t>
  </si>
  <si>
    <t>Троць К.М.</t>
  </si>
  <si>
    <t>Давидюк О.М.</t>
  </si>
  <si>
    <t>Бенещук Н.Л.</t>
  </si>
  <si>
    <t>Кльоц О.П.</t>
  </si>
  <si>
    <t>Томашевський М.П.</t>
  </si>
  <si>
    <t>Умша С.М.</t>
  </si>
  <si>
    <t>Савчук Н.М.</t>
  </si>
  <si>
    <t>Прощерук Н.О.</t>
  </si>
  <si>
    <t>лікар-спеціаліст хірургія № 2018 -з - 22.06.2021</t>
  </si>
  <si>
    <t>Боярин Б.Л.</t>
  </si>
  <si>
    <t>Майструк О.В.</t>
  </si>
  <si>
    <t>Ліщинська Л.І.</t>
  </si>
  <si>
    <t>Дейна С.О.</t>
  </si>
  <si>
    <t>Юфімюк К.В.</t>
  </si>
  <si>
    <t>Поліщук Т.А.</t>
  </si>
  <si>
    <t>Романюк О.В.</t>
  </si>
  <si>
    <t>Лясковська Н.К.</t>
  </si>
  <si>
    <t>Росоловська Є.П.</t>
  </si>
  <si>
    <t>Олександр МАЛОФЄЄВ</t>
  </si>
  <si>
    <t>Анжеліка ХОМЯРЧУК</t>
  </si>
  <si>
    <t>Премії та інші заохочення</t>
  </si>
  <si>
    <t xml:space="preserve"> Адміністративні витрати</t>
  </si>
  <si>
    <t>Оплата праці</t>
  </si>
  <si>
    <t>1 кв</t>
  </si>
  <si>
    <t>4 кв</t>
  </si>
  <si>
    <t>Доплата до постанови 28 (13500, 20000)</t>
  </si>
  <si>
    <t>2кв</t>
  </si>
  <si>
    <t>3кв</t>
  </si>
  <si>
    <t>оп</t>
  </si>
  <si>
    <t>єсв</t>
  </si>
  <si>
    <t>Показник/Період</t>
  </si>
  <si>
    <t>за рік</t>
  </si>
  <si>
    <t>Примітка</t>
  </si>
  <si>
    <t xml:space="preserve">* Лікарські засоби * Вироби медичного призначення та допоміжні засоби,тощо *Імунобіологічні препарати *Дезинфекційні засоби </t>
  </si>
  <si>
    <t xml:space="preserve">* Продукти харчування </t>
  </si>
  <si>
    <t xml:space="preserve">* Інші операційні витрати </t>
  </si>
  <si>
    <t>* Видатки на відрядження</t>
  </si>
  <si>
    <t>Оплата інших енергоносіїв</t>
  </si>
  <si>
    <t>* Тріска паливна</t>
  </si>
  <si>
    <t>* Утилізація сміття</t>
  </si>
  <si>
    <t>сума повинна співвідноситись із сумою отриманого доходу на ці заходи</t>
  </si>
  <si>
    <t xml:space="preserve">Інші поточні видатки </t>
  </si>
  <si>
    <t>* Засоби індивідуального захисту * Інші матеріали * Купівельні напівфабрикати , * Паливо * Будівельні матеріали * Інші матеріали</t>
  </si>
  <si>
    <t>вказати суму, якщо такий фонд передбачено Статутом/колективним договором</t>
  </si>
  <si>
    <t>Витрати на охорону праці</t>
  </si>
  <si>
    <t>відповідно до Закону України "Про охорону праці" (0.5% від фонду оплати праці за попередній рік)</t>
  </si>
  <si>
    <t xml:space="preserve">Сума ПДВ до Державного бюджету України </t>
  </si>
  <si>
    <t>вказати суму, якщо даний податок сплачується</t>
  </si>
  <si>
    <t>Сума плати за землю</t>
  </si>
  <si>
    <t>Транспортний податок з юридичних осіб</t>
  </si>
  <si>
    <t>Податок на нерухомість</t>
  </si>
  <si>
    <t>Інші податки, збори та платежі на користь держави (екол)</t>
  </si>
  <si>
    <t>вказати суму таких податків і зборів, за виключенням ЄСВ</t>
  </si>
  <si>
    <t>Капітальне будівництво</t>
  </si>
  <si>
    <t>Придбання (виготовлення) основних засобів</t>
  </si>
  <si>
    <t>вказати інші, які не входять до Табелю МТО  (вкладка "03_МТО")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</si>
  <si>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</si>
  <si>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</si>
  <si>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</si>
  <si>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відповідно до рахунку 15 "Капітальні інвестиції"</t>
  </si>
  <si>
    <t>відповідно до рахунків 10 "Основні засоби", 11 "Інші необоротні матеріальні активи", 12 "Нематеріальні активи"</t>
  </si>
  <si>
    <t xml:space="preserve">Амортизація </t>
  </si>
  <si>
    <t>відповідно до рахунку 13 "Знос (амортизація) необоротних активів"</t>
  </si>
  <si>
    <t>КАПІТАЛЬНІ ВИДАТКИ</t>
  </si>
  <si>
    <t>4кв</t>
  </si>
  <si>
    <t>* Електроенергія</t>
  </si>
  <si>
    <t>1кв</t>
  </si>
  <si>
    <t>ІІІ розряд</t>
  </si>
  <si>
    <t>Витрати на канцтовари, офісне приладдя та устаткування</t>
  </si>
  <si>
    <t xml:space="preserve"> ВИДАТКИ та ПОКАЗНИКИ БАЛАНСУ ПІДПРИЄМСТВА</t>
  </si>
  <si>
    <t>Електромонтер з ремонту та обслуговування електроустаткування</t>
  </si>
  <si>
    <t>ІV розряд</t>
  </si>
  <si>
    <t>Сума податків та зборів до Державного бюджету України (податкові платежі)</t>
  </si>
  <si>
    <t>Всього доходи</t>
  </si>
  <si>
    <t>назва</t>
  </si>
  <si>
    <t>Супрун Ю.В.</t>
  </si>
  <si>
    <t>Березюк Л.М.</t>
  </si>
  <si>
    <t>Нічні (водії, маниністи котельні)</t>
  </si>
  <si>
    <t>Нічні (молодший медперсонал)</t>
  </si>
  <si>
    <t>Енергоносії разом</t>
  </si>
  <si>
    <t>Енергоносії разом місцевий бюджет</t>
  </si>
  <si>
    <t>Площа орендарі</t>
  </si>
  <si>
    <t>Загальна площа</t>
  </si>
  <si>
    <t>Площа для роз. експ.</t>
  </si>
  <si>
    <t>Експлуатаційні на 01.04.25</t>
  </si>
  <si>
    <t>з ПДВ</t>
  </si>
  <si>
    <t>Надходження за надання послуг МД, що не входять до програми медичних гарантій, грн. (з ПДВ)</t>
  </si>
  <si>
    <t>Надходження за надання послуг МД, що не входять до програми медичних гарантій, грн. (без ПДВ)</t>
  </si>
  <si>
    <t>Податки та збори</t>
  </si>
  <si>
    <t>Рентна плата за користування надрами для видобування корисних копалин (вода)</t>
  </si>
  <si>
    <t>Кодиціонер</t>
  </si>
  <si>
    <t>ДК:021:2015 42510000-4</t>
  </si>
  <si>
    <t>Олександр Малофєєв 0685629020</t>
  </si>
  <si>
    <t>Реабілітаційна допомога дорослим та дітям у стаціонарних умовах</t>
  </si>
  <si>
    <t>Реалібітаційна допомога дорослим і дітям у амбулаторних умовах</t>
  </si>
  <si>
    <t>Всього видатки</t>
  </si>
  <si>
    <t>Цитоскопія</t>
  </si>
  <si>
    <t>Медичний огляд осіб, який організовує ТЦКСП</t>
  </si>
  <si>
    <t>від  ______________________ 2024 року № _______</t>
  </si>
  <si>
    <t>Гольмієва медсистема</t>
  </si>
  <si>
    <t>ДК 021:2015 - 33150000-6</t>
  </si>
  <si>
    <t>ФІНАНСОВИЙ ПЛАН ПІДПРИЄМСТВА НА  2025 рік</t>
  </si>
  <si>
    <t>вища категорія УОЗ № 112-ос/к - 25.06.2024</t>
  </si>
  <si>
    <t>лікар-спеціаліст УОЗ № 1621-з від 07.06.2024</t>
  </si>
  <si>
    <t>І категорія медична статистика № 141-ос/к  05.07.2024</t>
  </si>
  <si>
    <t>ВІДДІЛ КАДРІВ</t>
  </si>
  <si>
    <t>Начальник відділу кадрів</t>
  </si>
  <si>
    <t>Інспектор з кадрів</t>
  </si>
  <si>
    <t>Пєчко М.Я.</t>
  </si>
  <si>
    <t>2 розряд</t>
  </si>
  <si>
    <t>Омельчук О.А.</t>
  </si>
  <si>
    <t>Лазаренко С.М.</t>
  </si>
  <si>
    <t>Бойко С.П.</t>
  </si>
  <si>
    <t>Ляшук І.А.</t>
  </si>
  <si>
    <t>вакасія</t>
  </si>
  <si>
    <t>2 розрд</t>
  </si>
  <si>
    <t>Гнатюк В. В.</t>
  </si>
  <si>
    <t xml:space="preserve">Лукашук Р. В. </t>
  </si>
  <si>
    <t>Самелюк О. А.</t>
  </si>
  <si>
    <t xml:space="preserve">Свінтуховський О. І. </t>
  </si>
  <si>
    <t xml:space="preserve">Сидорук М. В. </t>
  </si>
  <si>
    <t xml:space="preserve">Сидорук О. Б. </t>
  </si>
  <si>
    <t xml:space="preserve">Стратович Б. П. </t>
  </si>
  <si>
    <t xml:space="preserve">Ткачук В. В. </t>
  </si>
  <si>
    <t>ІІ категорія акушерство і гінекологія № 426-ос/к - 06.12.2023</t>
  </si>
  <si>
    <t>лікар-спеціаліст акушерство і гінекологія № 1850-А 21.06.2023</t>
  </si>
  <si>
    <t>вища категорія психіатрія № 155-к/тр від 29.06.2024</t>
  </si>
  <si>
    <t xml:space="preserve">лікар-спеціаліст стоматологія № 2059-з - 25.06.2024 </t>
  </si>
  <si>
    <t>вища категорія терапія № 155-к/тр - 26.06.2024</t>
  </si>
  <si>
    <t xml:space="preserve">І категорія ультразвукова діагностика № 320-к/тр - 24.10.2024 </t>
  </si>
  <si>
    <t>лікар спеціаліст ультразвукова діагностика № 627 - 30.11.2022</t>
  </si>
  <si>
    <t xml:space="preserve">перша категорія дерматовенерологія № 368 - ос/к - 27.12.2019 </t>
  </si>
  <si>
    <t>І категорія ендокринологія № 396-ос/к - 06.12.2023</t>
  </si>
  <si>
    <t>І категорія ендоскопія № 23-ос/к - 28.02.2024</t>
  </si>
  <si>
    <t>вища категорія неврологія № 66-ос/к - 25.04.2024</t>
  </si>
  <si>
    <t>лікар-спеціаліст отоларингологія № 1089-з   29.03.2023</t>
  </si>
  <si>
    <t>Кордонець Б.М.</t>
  </si>
  <si>
    <t>ІІ категорія офтальмологія № 287-к/тр - 28.09.2024</t>
  </si>
  <si>
    <t>1 категорія № 411-ос/к  06.12.2023</t>
  </si>
  <si>
    <t>І категорія хірургія № 174 - 13.09.2024</t>
  </si>
  <si>
    <t>І категорія акушерство і гінекологія 09.10.2024</t>
  </si>
  <si>
    <t>Юрчук Н.В.</t>
  </si>
  <si>
    <t>вища категорія сестринська справа № 294- ос/к - 12.09.2024</t>
  </si>
  <si>
    <t>вища категорія сестринська справа № 426-ос/к - 06.12.2023</t>
  </si>
  <si>
    <t>І категорія сестринська справа №16-ос/к 14.02.2024</t>
  </si>
  <si>
    <t>УРОЛОГІЧНЕ ВІДДІЛЕННЯ (з операційною)</t>
  </si>
  <si>
    <t xml:space="preserve">Завідувач уролологічного відділення </t>
  </si>
  <si>
    <t>вища категорія акушерство і гінекологія № 23-ос/к - 28.02.2024</t>
  </si>
  <si>
    <t>вища категорія акушерство і гінекологія № 23-ос/к - 05.02.2026</t>
  </si>
  <si>
    <t xml:space="preserve">І категорія сестринська справа (операційна) № 16-ос/к - 14.02.2024 </t>
  </si>
  <si>
    <t>вища сестринська справа № 335-оск-07.11.2019</t>
  </si>
  <si>
    <t xml:space="preserve">І категорія сестринська справа № 365-к/т - 13.11.2023 </t>
  </si>
  <si>
    <t>вища категорія сестринська справа № 426-ос/к 06.12.2023</t>
  </si>
  <si>
    <t xml:space="preserve">вища категорія сестринська справа № 63-к/тр - 12.04.2024 </t>
  </si>
  <si>
    <t>Мартинюк Г.М.</t>
  </si>
  <si>
    <t>Роианюк І.В.</t>
  </si>
  <si>
    <t>вища категорія сестринська справа № 105-к/тр - 09.05.20234</t>
  </si>
  <si>
    <t xml:space="preserve">вища категорія сестринська справа № 27-к/тр - 13.02.2023 </t>
  </si>
  <si>
    <t xml:space="preserve">вища категорія сестринська справа № 258-ос - 22.09.2021 </t>
  </si>
  <si>
    <t>Завідувач неврологічного відділення</t>
  </si>
  <si>
    <t xml:space="preserve">вища категорія неврологія № 155-к/тр - 26.06.2024 </t>
  </si>
  <si>
    <t xml:space="preserve">1 категорія сестринська справа № 247-к/тр  14.08.2023 </t>
  </si>
  <si>
    <t>І категорія сестринська справа № 426-ос/к - 06.12.2023</t>
  </si>
  <si>
    <t>вища категорія сестринська справа № 287-к/тр - 13.09.2024</t>
  </si>
  <si>
    <t>вища категорія сестринська справа № 42-к/тр - 15.03.2024</t>
  </si>
  <si>
    <t xml:space="preserve">Завідувач терапевтичного відділення </t>
  </si>
  <si>
    <t>вища категорія терапія № 66-ос/к - 25.04.2024</t>
  </si>
  <si>
    <t>вища категорія сестринська справа № 95-ос/к - 06.06.2024</t>
  </si>
  <si>
    <t>Хомярчук Л.В.</t>
  </si>
  <si>
    <t>вища категорія сестринська справа № 63-к/тр - 13.04.2024</t>
  </si>
  <si>
    <t>Бадира О.М.</t>
  </si>
  <si>
    <t>Лукашевич А.С.</t>
  </si>
  <si>
    <t xml:space="preserve">вища категорія сестринська справа № 63-к/тр - 13.04.2024 </t>
  </si>
  <si>
    <t xml:space="preserve">вища категорія сестринська справа № 187-к/тр - 12.07.2024 </t>
  </si>
  <si>
    <t>вища категорія сестринська справа № 77-ос/к - 16.05.2024</t>
  </si>
  <si>
    <t xml:space="preserve">вища категорія сестринська справа № 105-к/тм - 09.05.2024 </t>
  </si>
  <si>
    <t>Завідувач хірургічного відділення з операційним блоком</t>
  </si>
  <si>
    <t xml:space="preserve">1 категорія хірургія № 307-ос/к 24.09.2024 </t>
  </si>
  <si>
    <t>І категорія хірургія № 23-ос/к - 28.02.2024</t>
  </si>
  <si>
    <t>лікар-спеціаліст хірургія № 1850-з  21.06.2023</t>
  </si>
  <si>
    <t>І категорія хірургія № 49-ос/к - 28.03.2024</t>
  </si>
  <si>
    <t xml:space="preserve">вища категорія сестринська справа № 154-к/тр - 07.06.2024 </t>
  </si>
  <si>
    <t>вища категорія сестринська справа № 54-ос/к - 11.04.2024</t>
  </si>
  <si>
    <t xml:space="preserve">вища категорія сестринська справа № 287-к/тр - 14.09.2024 </t>
  </si>
  <si>
    <t xml:space="preserve">вища категорія сестринська справа № 365-к/тр - 13.11.2023 </t>
  </si>
  <si>
    <t>Сестра медична ( брат медичний ) стаціонару (процедурна, процедурний)</t>
  </si>
  <si>
    <t>вища категорія сестринська справа № 320-к/тр - 11.10.2024</t>
  </si>
  <si>
    <t>вища категорія сестринська справа (операційна) № 426-ос/к - 06.12.2023</t>
  </si>
  <si>
    <t>вища категорія сестринська справа (операційна) № 335-ос  -07.11.2019</t>
  </si>
  <si>
    <t>Козловська І.В.</t>
  </si>
  <si>
    <t xml:space="preserve">Пац Н.А. </t>
  </si>
  <si>
    <t>Завідувач відділення анестезіології та інтенсивної терапії</t>
  </si>
  <si>
    <t>вища категорія анестезіологія № 264-ос/к  30.09.2021</t>
  </si>
  <si>
    <t xml:space="preserve">вища категорія анестезіологія № 287-к/тм - 28.09.2024 </t>
  </si>
  <si>
    <t>лікар-спеціаліст анестезіологія № 1850-з   21.06.2023</t>
  </si>
  <si>
    <t>лікар-спеціаліст анестезіологія та інтенсивна терапія №2032-з - 21.06.2024</t>
  </si>
  <si>
    <t xml:space="preserve">вища категорія сестринська справа (операційна) № 63-к/тр - 13.04.2024 </t>
  </si>
  <si>
    <t>1 категорія сестринська справа № 19-ос   - 13.02.2020</t>
  </si>
  <si>
    <t xml:space="preserve">вища категорія сестринська справа № 287-к/тм - 14.09.2024  </t>
  </si>
  <si>
    <t xml:space="preserve">вища категорія сестринська справа № 287-к/тм - 04.09.2024  </t>
  </si>
  <si>
    <t>Линник О.М.</t>
  </si>
  <si>
    <t>Лікар приймального відділення</t>
  </si>
  <si>
    <t>лікар-спеціаліст внутрішні хвороби № 1850-з  21.06.20203</t>
  </si>
  <si>
    <t>вища категорія сестринська справа № 294-ос/к - 12.09.2024</t>
  </si>
  <si>
    <t>вища категорія сестринська справа № 365-к/тр  - 13.11.2023</t>
  </si>
  <si>
    <t>вища категорія клінічна лабораторна діагностика № 28 - ос/к - 21.02.2024</t>
  </si>
  <si>
    <t>Цитоморфолог</t>
  </si>
  <si>
    <t>ІІ категорія лабораторна справа (клініка) № 42-к/тр - 16.03.2024</t>
  </si>
  <si>
    <t>вища категорія лабораторна справа (клініка) № 320-к/тр - 11.10.2023</t>
  </si>
  <si>
    <t>вища категорія рентгенологія (для середніх) № 39-ос/к - 04.03.2021</t>
  </si>
  <si>
    <t>вища категорія рентгенологія (для середніх) № 69-ос/к - 06.05.2021</t>
  </si>
  <si>
    <t>РЕАБІЛІТАЦІЙНЕ ВІДДІЛЕННЯ ДЛЯ НАДАННЯ АМБУЛАТОРНОЇ РЕАБІЛІТАЦІЙНОЇ ДОПОМОГИ ХВОРИМ</t>
  </si>
  <si>
    <t>Лікар фізичної та реабілітаційної медицини</t>
  </si>
  <si>
    <t>лікар-спеціаліст фізична та реабілітаційна медицина 19.12.2022</t>
  </si>
  <si>
    <t>лікар-спеціаліст фізична та реабілітаційна медицина 14.07.2023</t>
  </si>
  <si>
    <t>Ватащук В. О.</t>
  </si>
  <si>
    <t>Лікар-фізіотерапевт</t>
  </si>
  <si>
    <t>вища категорія фізіотерапія № 234-ос/к   29.07.2021</t>
  </si>
  <si>
    <t>Ерготерапевт</t>
  </si>
  <si>
    <t>Абрамович Ю.В.</t>
  </si>
  <si>
    <t>Гацик Л.А.</t>
  </si>
  <si>
    <t>Фізичний терапевт</t>
  </si>
  <si>
    <t>Лойко І. М.</t>
  </si>
  <si>
    <t>Клінічний психолог</t>
  </si>
  <si>
    <t>Терапевт мови і мовлення</t>
  </si>
  <si>
    <t>Дудік Л.В.</t>
  </si>
  <si>
    <t>Ассистент ерготерапевта</t>
  </si>
  <si>
    <t>Ассистент фізичного терапевта</t>
  </si>
  <si>
    <t xml:space="preserve">Сестра медична (брат медичний ) </t>
  </si>
  <si>
    <t>вища категорія сестринська справа № 237 - ос/к    -  07.10.21</t>
  </si>
  <si>
    <t>\</t>
  </si>
  <si>
    <t xml:space="preserve">Сестра медична (брат медичний) </t>
  </si>
  <si>
    <t>Інший персонал</t>
  </si>
  <si>
    <t>Вербицька М.В.</t>
  </si>
  <si>
    <t xml:space="preserve">вища категорія епідеміологія № 155-к/тр - 13.06.2024 </t>
  </si>
  <si>
    <t>вища категорія медико профілактична справа № 187-к/тр - 12.07.2024</t>
  </si>
  <si>
    <t>Росоловську Є.П.</t>
  </si>
  <si>
    <t>вища категорія сестринська справа № 294-ос/к - 04.09.2024</t>
  </si>
  <si>
    <t>ЗП машиністи кочегари котельні на 01.01.25</t>
  </si>
  <si>
    <t>ЗП машиністи кочегари котельні на 01.05.25</t>
  </si>
  <si>
    <t>ЗП машиністи насосних установок на 01.01.25</t>
  </si>
  <si>
    <t>Зп прибиральники службових приміщень та території на 01.01.25</t>
  </si>
  <si>
    <t>Експлуатаційні(кочегари) на 01.01.25</t>
  </si>
  <si>
    <t>Експлуатаційні на 01.01.25</t>
  </si>
  <si>
    <t>Експлуатаційні (кочегари)на 01.01.25</t>
  </si>
  <si>
    <t xml:space="preserve">Розрахунок видатків на оплату праці на 2025 рік </t>
  </si>
  <si>
    <t>активна</t>
  </si>
  <si>
    <t>реактивна</t>
  </si>
  <si>
    <t>розподіл</t>
  </si>
  <si>
    <t>Місцевий бюджет</t>
  </si>
  <si>
    <t>Власні кошти</t>
  </si>
  <si>
    <t>всього</t>
  </si>
  <si>
    <t>Разом</t>
  </si>
  <si>
    <t>ПДФО+ПДВ</t>
  </si>
  <si>
    <t>7388,68 * 12 = 88664</t>
  </si>
  <si>
    <t>Потреба на 2025 р.</t>
  </si>
  <si>
    <t xml:space="preserve">Економіст </t>
  </si>
  <si>
    <t>Інші енергоносії (тріска паливна)</t>
  </si>
  <si>
    <t>Всього енергоносії</t>
  </si>
  <si>
    <t>Капітальний ремонт приміщень для влаштування компютерного томографу КП "Рожищенська багатопрофільна лікарня" Рожищенської мвської ради, вул. Шилокадзе Коте 19, м. Рожище, Волинської області</t>
  </si>
  <si>
    <t>Придбання відеоендоскопічного комплексу з відеогастроскопом</t>
  </si>
  <si>
    <t>Тарифікаційний список працівників КП "Рожищенська багатопрофільна лікарня" на  2025 року</t>
  </si>
  <si>
    <t>Програма підтримки та розвитку вторинної медичної допомоги 2025 рік</t>
  </si>
  <si>
    <t>Фоточутливі, термочутливі та термографічні папір та картон</t>
  </si>
  <si>
    <t xml:space="preserve">22993000-7 </t>
  </si>
  <si>
    <t>Барвники та пігменти</t>
  </si>
  <si>
    <t>24200000-6</t>
  </si>
  <si>
    <t>Оксиди, пероксиди та гідроксиди</t>
  </si>
  <si>
    <t>24210000-9</t>
  </si>
  <si>
    <t>Агрохімічна продукція</t>
  </si>
  <si>
    <t>24450000-3</t>
  </si>
  <si>
    <t>Клеї</t>
  </si>
  <si>
    <t>24910000-6</t>
  </si>
  <si>
    <t>Фотокопіювальне та поліграфічне обладнання для офсетного друку</t>
  </si>
  <si>
    <t xml:space="preserve">30120000-6 </t>
  </si>
  <si>
    <t>30190000-7</t>
  </si>
  <si>
    <t>Електрична аппаратура</t>
  </si>
  <si>
    <t>31210000-1</t>
  </si>
  <si>
    <t>Автоматичні вимикачі</t>
  </si>
  <si>
    <t xml:space="preserve">31211310-4 </t>
  </si>
  <si>
    <t>Електророзподільна та контрольна апаратура</t>
  </si>
  <si>
    <t xml:space="preserve">31200000-8 </t>
  </si>
  <si>
    <t>Комп'ютерне обладнання</t>
  </si>
  <si>
    <t>30230000-0</t>
  </si>
  <si>
    <t>Елементи електричних схем</t>
  </si>
  <si>
    <t>31220000-4</t>
  </si>
  <si>
    <t>Приладдя до ізльованих кабелів</t>
  </si>
  <si>
    <t>31340000-1</t>
  </si>
  <si>
    <t>Електричні лампи розжарення</t>
  </si>
  <si>
    <t>31510000-4</t>
  </si>
  <si>
    <t>Частини до світильників та освітлювального оладнання</t>
  </si>
  <si>
    <t>31530000-0</t>
  </si>
  <si>
    <t>Світильники та освітлювальна арматура</t>
  </si>
  <si>
    <t xml:space="preserve">31520000-7 </t>
  </si>
  <si>
    <t>Електричне приладдя та супутні товари до електричного обладнання</t>
  </si>
  <si>
    <t xml:space="preserve">31680000-6 </t>
  </si>
  <si>
    <t>Електроди</t>
  </si>
  <si>
    <t xml:space="preserve">31711140-6 </t>
  </si>
  <si>
    <t>Частини до аудіо- та відеообладнання</t>
  </si>
  <si>
    <t xml:space="preserve">32350000-1 </t>
  </si>
  <si>
    <t>Мікрофони та гучномовці</t>
  </si>
  <si>
    <t xml:space="preserve">32340000-8 </t>
  </si>
  <si>
    <t>Гальванічні елементи</t>
  </si>
  <si>
    <t>31410000-3</t>
  </si>
  <si>
    <t>Маршрутизатори</t>
  </si>
  <si>
    <t xml:space="preserve">32413100-2 </t>
  </si>
  <si>
    <t>Мережеве обладнання</t>
  </si>
  <si>
    <t xml:space="preserve">32420000-3 </t>
  </si>
  <si>
    <t>Туалетний папір, носові хустинки, рушники для рук і серветки: папір туалетний</t>
  </si>
  <si>
    <t>33760000-5</t>
  </si>
  <si>
    <t>Устаткування для операційних блоків</t>
  </si>
  <si>
    <t xml:space="preserve">33160000-9 </t>
  </si>
  <si>
    <t>Запасні частини до вантажних транспортних засобів, фургонів та легкових автомобілів: колодки тормозні, підшипник, фільтр масла, масло</t>
  </si>
  <si>
    <t>34330000-9</t>
  </si>
  <si>
    <t>Шини для транспортних засобів малої тоннажності</t>
  </si>
  <si>
    <t xml:space="preserve">34351000-2 </t>
  </si>
  <si>
    <t>Детектори та аналізатори</t>
  </si>
  <si>
    <t>38430000-8</t>
  </si>
  <si>
    <t>Шпалери та інші настінні покриття</t>
  </si>
  <si>
    <t>39190000-0</t>
  </si>
  <si>
    <t>Різальні інструменти</t>
  </si>
  <si>
    <t>39240000-6</t>
  </si>
  <si>
    <t>Кухонне приладдя, товари для дому та господарства і приладдя для закладів громадського харчування</t>
  </si>
  <si>
    <t>39220000-0</t>
  </si>
  <si>
    <t>39330000-4</t>
  </si>
  <si>
    <t>Штори,портьєри,кухонні штори та тканинні жалюзі</t>
  </si>
  <si>
    <t>39515000-5</t>
  </si>
  <si>
    <t>Електричні побутові прилади</t>
  </si>
  <si>
    <t>39710000-2</t>
  </si>
  <si>
    <t>Неелектричні побутові прилади</t>
  </si>
  <si>
    <t>39720000-5</t>
  </si>
  <si>
    <t>Герметики</t>
  </si>
  <si>
    <t>39812500-2</t>
  </si>
  <si>
    <t>Продукція для чищення</t>
  </si>
  <si>
    <t>39830000-9</t>
  </si>
  <si>
    <t xml:space="preserve">42968200-1 </t>
  </si>
  <si>
    <t>Арматура трубопровідна: крани, вентилі, клапани та подібні пристрої</t>
  </si>
  <si>
    <t>42130000-9</t>
  </si>
  <si>
    <t>Ручні інструменти пневматичні чи моторизовані</t>
  </si>
  <si>
    <t>42650000-7</t>
  </si>
  <si>
    <t>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</si>
  <si>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>42660000-0</t>
  </si>
  <si>
    <t>Електричні інструменти</t>
  </si>
  <si>
    <t>43830000-0</t>
  </si>
  <si>
    <t>Конструкційні матеріали</t>
  </si>
  <si>
    <t>44110000-4</t>
  </si>
  <si>
    <t>Магістралі, трубопроводи, труби, обсадні труби, тюбінги та супутні вироби</t>
  </si>
  <si>
    <t>44160000-9</t>
  </si>
  <si>
    <t>Плити, листи, стрічки та фольга, пов’язані з конструкційними матеріалами</t>
  </si>
  <si>
    <t>44170000-2</t>
  </si>
  <si>
    <t>Цвяхи</t>
  </si>
  <si>
    <t>44192200-4</t>
  </si>
  <si>
    <t>Столярні вироби</t>
  </si>
  <si>
    <t xml:space="preserve">44220000-8 </t>
  </si>
  <si>
    <t>Вікна, двері та супутні вироби: двері вхідні ПВХ білі</t>
  </si>
  <si>
    <t>44221000-5</t>
  </si>
  <si>
    <t>Вироби з дроту</t>
  </si>
  <si>
    <t>44310000-6</t>
  </si>
  <si>
    <t>Кабелі та супутня продукція</t>
  </si>
  <si>
    <t xml:space="preserve">44320000-9 </t>
  </si>
  <si>
    <t>Вироби для ванної кімнати та кухні</t>
  </si>
  <si>
    <t xml:space="preserve">44410000-7 </t>
  </si>
  <si>
    <t>Знаряддя</t>
  </si>
  <si>
    <t>44510000-8</t>
  </si>
  <si>
    <t>Замки, ключі та петлі</t>
  </si>
  <si>
    <t xml:space="preserve">44520000-1 </t>
  </si>
  <si>
    <t>Кріпильні деталі</t>
  </si>
  <si>
    <t>44530000-4</t>
  </si>
  <si>
    <t>Фарби</t>
  </si>
  <si>
    <t xml:space="preserve">44810000-1 </t>
  </si>
  <si>
    <t>Мастики,шпаклівки,замазки та розчинники</t>
  </si>
  <si>
    <t>44830000-7</t>
  </si>
  <si>
    <t>Розчинники</t>
  </si>
  <si>
    <t xml:space="preserve">44832000-1 </t>
  </si>
  <si>
    <t>Вапняк, гіпс і крейда</t>
  </si>
  <si>
    <t>44920000-5</t>
  </si>
  <si>
    <t>Мастильні засоби</t>
  </si>
  <si>
    <t>09210000-4</t>
  </si>
  <si>
    <t>Нафта і дистиляти</t>
  </si>
  <si>
    <t>09130000-9</t>
  </si>
  <si>
    <t>Вироби домашнього текстилю</t>
  </si>
  <si>
    <t>39510000-0</t>
  </si>
  <si>
    <t>Дезінфекційне обладнання</t>
  </si>
  <si>
    <t>Диспенсери засобів гігієни</t>
  </si>
  <si>
    <t>Ремонт ННМА (прикладне програмне забезпечення - ППЗ)</t>
  </si>
  <si>
    <t>Інші операційні витрати</t>
  </si>
  <si>
    <t>Інше ТО та обслуговування</t>
  </si>
  <si>
    <t xml:space="preserve">Інші послуги </t>
  </si>
  <si>
    <t>ЛІКАРСЬКІ ЗАСОБИ</t>
  </si>
  <si>
    <t>Офісне устаткування та приладдя різне + папір</t>
  </si>
  <si>
    <t>Олександр МОРГУН</t>
  </si>
  <si>
    <t>Dextran</t>
  </si>
  <si>
    <t>фл.</t>
  </si>
  <si>
    <t>Набір реагентів для визначення активності аланінамінотрансферази в сироватці, крові, АЛаТ (Райтмана-Френкеля метод) НР001.01</t>
  </si>
  <si>
    <t>шт.</t>
  </si>
  <si>
    <t>Білірубін загальний і прямий- метод Ієндрашика НР005.01</t>
  </si>
  <si>
    <t>Глюкоза (глюкозо- оксидазний метод) НР009.02</t>
  </si>
  <si>
    <t>Креатинін НР014.01</t>
  </si>
  <si>
    <t>Загальний білок НР010.01</t>
  </si>
  <si>
    <t>Оцтова кислота чда</t>
  </si>
  <si>
    <t>Ревматоїдний фактор (РФ) латекс – тест 200 визначень</t>
  </si>
  <si>
    <t>Сечова кислота НР017.01</t>
  </si>
  <si>
    <t>Набір реагентів для визначення кількості сечовини в сироватці, плазмі крові та сечі СЕЧОВИНА Сімко</t>
  </si>
  <si>
    <t>уп</t>
  </si>
  <si>
    <t>M-30P PROBE CLEANSER      17 мл.</t>
  </si>
  <si>
    <t>M-30D DILUENT 20 л.</t>
  </si>
  <si>
    <t>кан.</t>
  </si>
  <si>
    <t>Контроль на кров  для гематологічних досліджень 3 мл.</t>
  </si>
  <si>
    <t>Ацетон- тест №25</t>
  </si>
  <si>
    <t>Тимолова проба НР021.01</t>
  </si>
  <si>
    <t>Серомукоїди НР019.01</t>
  </si>
  <si>
    <t>Азопірамова проба</t>
  </si>
  <si>
    <t>pH-тест № 50</t>
  </si>
  <si>
    <t>24320000-3: Основні органічні хімічні речовини</t>
  </si>
  <si>
    <t>Лікарський засіб: Спирт етиловий</t>
  </si>
  <si>
    <t>Найменування</t>
  </si>
  <si>
    <t>Спирт 96 % «Біосепт» 100мл.</t>
  </si>
  <si>
    <t>24455000-8 Дезинфекційні засоби</t>
  </si>
  <si>
    <t>АХД 2000 експрес  250мл.з тригером</t>
  </si>
  <si>
    <t>АХД 2000 експрес 1л.з дозуючим пристроєм</t>
  </si>
  <si>
    <t>АХД 2000 експрес 5л.</t>
  </si>
  <si>
    <t>Аеродезин250мл з двофункційним тригером</t>
  </si>
  <si>
    <t>Аеродезин 5л.</t>
  </si>
  <si>
    <t>Мікрасепт 250мл</t>
  </si>
  <si>
    <t>Мікрасепт 5л</t>
  </si>
  <si>
    <t>Бланідас Актив 5л</t>
  </si>
  <si>
    <t>Засіб для дезінфекції рук «Бланідассофтдез» 5л</t>
  </si>
  <si>
    <t>Лізоформін3000 1л</t>
  </si>
  <si>
    <t xml:space="preserve">Бланідаз 300 табл.№ 300 </t>
  </si>
  <si>
    <t>Госпісепттабл.№300</t>
  </si>
  <si>
    <t>Сурфахлор табл. №300</t>
  </si>
  <si>
    <t>Бланідас Актив Ензим 5л</t>
  </si>
  <si>
    <t>Віпасепт 1л</t>
  </si>
  <si>
    <t>Віпасепт 5л</t>
  </si>
  <si>
    <t>Корзолекс 5л</t>
  </si>
  <si>
    <t>Пероксид водню 32,5% 5л</t>
  </si>
  <si>
    <t>уп.</t>
  </si>
  <si>
    <t>33690000-3 «Лікарські засоби різні» - Лабораторні реактиви</t>
  </si>
  <si>
    <t xml:space="preserve">33600000-6 Фармацевтична продукція </t>
  </si>
  <si>
    <t xml:space="preserve">Сума </t>
  </si>
  <si>
    <t>Ліана ГУБАРЄВА</t>
  </si>
  <si>
    <t>Бинт 5*10см.н/с.</t>
  </si>
  <si>
    <t>Бинт 7*14см.н/ст.</t>
  </si>
  <si>
    <t>Бинт 7*14см стер.</t>
  </si>
  <si>
    <t>Відріз марлевий медичний нестерильний 1000см*90см н/ст</t>
  </si>
  <si>
    <t>Вата нестерильна  медична гігієнічна зиг-заг100г н/ст.</t>
  </si>
  <si>
    <t>Серветки марл. з петлею ст. 90х45 з рентген.нит 4 шар. №2</t>
  </si>
  <si>
    <t>Смуги індикаторні «Стерилан» 180/60(100шт)</t>
  </si>
  <si>
    <t>Смуги індикаторні «Стерилан» 132/20(100шт)</t>
  </si>
  <si>
    <t>Смуги індикаторні «Стерилан» 120/45(100шт)</t>
  </si>
  <si>
    <t>Рулон поліамідний для стерилізації сухим жаром STERIKING 50мм*200м(HR39)</t>
  </si>
  <si>
    <t>Рулон поліамідний для стерилізації сухим жаром STERIKING 100мм*200м(HR41)</t>
  </si>
  <si>
    <t>Рулон поліамідний для стерилізації сухим жаром STERIKING 150мм*200м(HR42)</t>
  </si>
  <si>
    <t>Рулон поліамідний для стерилізації сухим жаром STERIKING 200мм*200м(HR43)</t>
  </si>
  <si>
    <t>Рулон плоский R41-3P 100мм*200м STERIKING</t>
  </si>
  <si>
    <t>Рулон плоский R42-3P 150мм*200м STERIKING</t>
  </si>
  <si>
    <t>Рулон плоский R43-3P 200мм*200м STERIKING</t>
  </si>
  <si>
    <t>Катетер внутрішньовенний з крильцями та ін’єкційним портом, розмір 18G</t>
  </si>
  <si>
    <t>Катетер внутрішньовенний з крильцями та ін’єкційним портом, розмір 20G</t>
  </si>
  <si>
    <t>Катетер внутрішньовенний з крильцями та ін’єкційним портом, розмір 22G</t>
  </si>
  <si>
    <t>Клейонка медична в рулонах по 50м</t>
  </si>
  <si>
    <t>Лейкопластир 1*500</t>
  </si>
  <si>
    <t>Лейкопластир 2.5*500 н/ткана основа</t>
  </si>
  <si>
    <t>Система ПК</t>
  </si>
  <si>
    <t>Система ПР</t>
  </si>
  <si>
    <t>Скарифікатори одноразовий стерильний №200</t>
  </si>
  <si>
    <t>Штатив до ШОЕ-метру (капілярам Панченкова)</t>
  </si>
  <si>
    <t>Капіляр Панченкова ШОЕ-метру</t>
  </si>
  <si>
    <t>Шприц 1,0мл</t>
  </si>
  <si>
    <t>Шприц 2,0 мл</t>
  </si>
  <si>
    <t>Шприц 5,0 мл</t>
  </si>
  <si>
    <t>Шприц 10,0 мл</t>
  </si>
  <si>
    <t>Шприц 20,0 мл</t>
  </si>
  <si>
    <t>Шприц 100,0 мл (з довгою канюлею)</t>
  </si>
  <si>
    <t>Шприц 120,0 мл з голкою</t>
  </si>
  <si>
    <t>Зонд шлунковий № 16</t>
  </si>
  <si>
    <t>Зонд шлунковий № 18</t>
  </si>
  <si>
    <t>Зонд шлунковий № 20</t>
  </si>
  <si>
    <t>Зонд шлунковий №21</t>
  </si>
  <si>
    <t>Катетер Фолея №16 (2-ох ходовий)</t>
  </si>
  <si>
    <t>Катетер Фолея №18 (2-ох ходовий)</t>
  </si>
  <si>
    <t>Катетер Фолея №20 (2-ох ходовий)</t>
  </si>
  <si>
    <t>Катетер Фолея №16 (3-ох ходовий)</t>
  </si>
  <si>
    <t>Катетер Фолея №18 (3-ох ходовий)</t>
  </si>
  <si>
    <t>Катетер Фолея №20 (3-ох ходовий)</t>
  </si>
  <si>
    <t>Ручка до леза металева</t>
  </si>
  <si>
    <t>Стомічний калоприймач «CASEX» розмір вирізу 13-80 мм (однокомпонентний, відкритий, непрозорий, з екстрактом Aloe Vera) 15 шт.</t>
  </si>
  <si>
    <t>Нарукавник на апарат l=250 см, d=15 см, вологонепроникний, 1 шт.</t>
  </si>
  <si>
    <t>Дренаж торакальний</t>
  </si>
  <si>
    <t>Голка хірургічна G, з пружинним вушком, з трикутним кінчиком SURGIWELOMED, 1/2 окружність, № 9 4В1-1,0*40</t>
  </si>
  <si>
    <t>Голка хірургічна G, з пружинним вушком, з трикутним кінчиком SURGIWELOMED, 1/2 окружність, № 10 4В1-0,9*36</t>
  </si>
  <si>
    <t>Голка хірургічна Gr, з пружинним вушком, з круглим кінчиком SURGIWELOMED, 1/2 окружність, № 9 4А1-1,0*40</t>
  </si>
  <si>
    <t>Голка для спинальної анестезії 22 G</t>
  </si>
  <si>
    <t>Голка для спинальної анестезії 23 G</t>
  </si>
  <si>
    <t>Голка для спинальної анестезії 25 G</t>
  </si>
  <si>
    <t>Голка для спинальної анестезії 27 G</t>
  </si>
  <si>
    <t>Зажим для пуповини</t>
  </si>
  <si>
    <t>Зонд Блекмора</t>
  </si>
  <si>
    <t>Катетер для відсмоктування слизу у новонароджених № 8</t>
  </si>
  <si>
    <t>Набір гінекологічний оглядовий №10</t>
  </si>
  <si>
    <t>Щіточка гінекологічна цервікальна</t>
  </si>
  <si>
    <t>Наконечник кружки Есмарха Fr18 д.6,0 мм</t>
  </si>
  <si>
    <t>Наконечник кружки Есмарха Fr124 д.8,0 мм</t>
  </si>
  <si>
    <t>Сечоприймач одноразовий Т – кран 2,0л.</t>
  </si>
  <si>
    <t>Катетер типу Нелатон №14</t>
  </si>
  <si>
    <t>Бахіли медичні</t>
  </si>
  <si>
    <t>Пелюшка поглинаюча 90*60см №30</t>
  </si>
  <si>
    <t>Пелюшка поглинаюча 60*60см  №30</t>
  </si>
  <si>
    <t>Бинт гіпсовий 10см*2,7м</t>
  </si>
  <si>
    <t>Бинт гіпсовий 15см*2,7м</t>
  </si>
  <si>
    <t>Бинт гіпсовий 20см*2,7м</t>
  </si>
  <si>
    <t>Дренаж торакальний (плевральний) на металевому Стилет-троакар діаметр 8 (CH24)</t>
  </si>
  <si>
    <t>Дренаж торакальний (плевральний) на металевому Стилет-троакар діаметр 10 (CH30)</t>
  </si>
  <si>
    <t>Степлер для шкіри</t>
  </si>
  <si>
    <t>Еластичний трубчасто-сітчастий бинт (сітка) №6, розмiр 5,8см x 50 cм</t>
  </si>
  <si>
    <t>Ложка Фолькмана одноразова стер.</t>
  </si>
  <si>
    <t>Білий наконечник  для піпеточного дозатора, типу Gilson, нестерильний (0,1-10 мкл) 1000 шт.</t>
  </si>
  <si>
    <t xml:space="preserve">Назальна канюля </t>
  </si>
  <si>
    <t>Маска киснева</t>
  </si>
  <si>
    <t>Трубка ендотрахіальна №7,0</t>
  </si>
  <si>
    <t>Трубка ендотрахіальна №7,5</t>
  </si>
  <si>
    <t>Трубка ендотрахіальна №8,0</t>
  </si>
  <si>
    <t>Трубка ендотрахіальна №8,5</t>
  </si>
  <si>
    <t>Кардіопапір до ЕКГ 80*23</t>
  </si>
  <si>
    <t>Кардіопапір до ЕКГ 110*25</t>
  </si>
  <si>
    <t>Гель для УЗД 5 л</t>
  </si>
  <si>
    <t>пар</t>
  </si>
  <si>
    <t>Fentanyl</t>
  </si>
  <si>
    <t>Diazepam</t>
  </si>
  <si>
    <t>Ketamine</t>
  </si>
  <si>
    <t>Morphine</t>
  </si>
  <si>
    <t>Фентаніл р-н д/ін. 0,05мг/мл 2мл №5</t>
  </si>
  <si>
    <t>Сибазон р-н д/ін. 5мг/мл 2мл №10</t>
  </si>
  <si>
    <t>Кетамін р-н д/ін. 50мг/мл 2мл №10</t>
  </si>
  <si>
    <t>Морфін г/хл. р-н д/ін. 1% 1мл №5</t>
  </si>
  <si>
    <t>Діагностикум еритроцитарний –HbsAg</t>
  </si>
  <si>
    <t>Набір ІФА EQUI anti Treponema</t>
  </si>
  <si>
    <t>33120000-7 Системи реєстрації медичної інформації та дослідне обладнання</t>
  </si>
  <si>
    <t>ІНМА</t>
  </si>
  <si>
    <t>42662000-4 Зварювальні матеріали та обладнання</t>
  </si>
  <si>
    <t>39510000-0 Вироби домашнього текстилю</t>
  </si>
  <si>
    <t>39710000-2 Електричні побутові прилади</t>
  </si>
  <si>
    <t>43830000-0 Електричні інструменти</t>
  </si>
  <si>
    <t>16310000-1 Косарки</t>
  </si>
  <si>
    <t>33167000-8 Хірургічні світильники</t>
  </si>
  <si>
    <t>42161000-5 Водонагрівальні бойлери</t>
  </si>
  <si>
    <t>39713200-5 Пральні та сушильні машини</t>
  </si>
  <si>
    <t>30230000-0 Комп’ютерне обладнання</t>
  </si>
  <si>
    <t>16160000-4 Садова техніка різна: кущоріз електричний</t>
  </si>
  <si>
    <t>39515000-5 Штори, портьєри, кухонні штори та тканинні жалюзі</t>
  </si>
  <si>
    <t>33730000-6 Офтальмологічні вироби та коригувальні лінзи</t>
  </si>
  <si>
    <t>30210000-4 Машини для обробки даних (апаратна частина)</t>
  </si>
  <si>
    <t>33160000-9 Устаткування для операційних блоків:</t>
  </si>
  <si>
    <t>44310000-6 Вироби з дроту</t>
  </si>
  <si>
    <t>39220000-0 Кухонне приладдя, товари для дому та господарства і приладдя для закладів громадського харчування</t>
  </si>
  <si>
    <t>33190000-8 Медичне обладнання та вироби медичного призначення різні</t>
  </si>
  <si>
    <t>Автоматичний біохімічний аналізатор</t>
  </si>
  <si>
    <t>Операційний стіл</t>
  </si>
  <si>
    <t>Офісний гістероскоп</t>
  </si>
  <si>
    <t>Стимулятор нервів</t>
  </si>
  <si>
    <t>Артроскоп синускоп цистоскоп</t>
  </si>
  <si>
    <t>Відеогастроскоп</t>
  </si>
  <si>
    <t>Ціна без ПДВ</t>
  </si>
  <si>
    <t>32354000-9</t>
  </si>
  <si>
    <t>Плівки</t>
  </si>
  <si>
    <t>32354110-3</t>
  </si>
  <si>
    <t>Рентгенівська плівка</t>
  </si>
  <si>
    <t>НАЗВА</t>
  </si>
  <si>
    <t>К-сть</t>
  </si>
  <si>
    <t>СУМА</t>
  </si>
  <si>
    <t>Плівка флюорографічна медична 70 мм х 30,5 м</t>
  </si>
  <si>
    <t>пак</t>
  </si>
  <si>
    <t>24900000-3</t>
  </si>
  <si>
    <t>Чисті хімічні речовини та різноманітна хімічна продукція</t>
  </si>
  <si>
    <t>24930000-2</t>
  </si>
  <si>
    <t>Фотохімікати</t>
  </si>
  <si>
    <t>24931230-0</t>
  </si>
  <si>
    <t>Проявники для рентгенівських плівок</t>
  </si>
  <si>
    <t>24931240-3</t>
  </si>
  <si>
    <t>Фіксажі для рентгенівських плівок</t>
  </si>
  <si>
    <t>Проявник для ручної обробки рентгенівської плівки, 3л (на 15л розчину)</t>
  </si>
  <si>
    <t>Фіксаж для ручної обробки рентгенівської плівки, 3л (на 15л розчину)</t>
  </si>
  <si>
    <t>Вироби медичного призначення та допоміжні засоби тощо (плівка , проявник , фіксаж )</t>
  </si>
  <si>
    <t>Всього інші доходи , грн.</t>
  </si>
  <si>
    <t xml:space="preserve">Назва </t>
  </si>
  <si>
    <t>Спирт 70 % «Біосепт» 100мл.</t>
  </si>
  <si>
    <t>Голка хірургічна Gr, з пружинним вушком, з круглим кінчиком SURGIWELOMED, 1/2 окружність, № 10 4А1-0,9*36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</si>
  <si>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</si>
  <si>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 xml:space="preserve">     (підпис)</t>
  </si>
  <si>
    <t>33690000-3 «Лікарські засоби різні</t>
  </si>
  <si>
    <t>№</t>
  </si>
  <si>
    <t>Найменування товару</t>
  </si>
  <si>
    <t>Міжнародна непатентована назва</t>
  </si>
  <si>
    <t>Адреналін розчин д/ін. 1.82 мг/мл по 1 мл №10</t>
  </si>
  <si>
    <t>Epinephrine</t>
  </si>
  <si>
    <t>упаковка</t>
  </si>
  <si>
    <t>Аміаку розчин д/зовн. заст. 10 % по 40 мл у флак.</t>
  </si>
  <si>
    <t>Ammonia</t>
  </si>
  <si>
    <t>Аміназин розчин д/ін. 25 мг/мл по 2 мл №10</t>
  </si>
  <si>
    <t>Chlorpromazine</t>
  </si>
  <si>
    <t>Амінокапронова кислота розчин д/інф. 5 % по 100 мл у флаконі</t>
  </si>
  <si>
    <t>Aminocaproic acid</t>
  </si>
  <si>
    <t>Амлодипін таблетки по 5 мг №20</t>
  </si>
  <si>
    <t>Amlodipine</t>
  </si>
  <si>
    <t>Амлосартан таблетки, в/плів. обол. по 5 мг/160 мг №30</t>
  </si>
  <si>
    <t>Valsartan and amlodipine</t>
  </si>
  <si>
    <t>Аритміл розчин д/ін. 50 мг/мл по 3 мл №5</t>
  </si>
  <si>
    <t>Amiodarone</t>
  </si>
  <si>
    <t>Аскорбінова кислота розчин д/ін. 100 мг/мл по 2 мл №10</t>
  </si>
  <si>
    <t>Ascorbic acid (vit C)</t>
  </si>
  <si>
    <t>Аскорбінова кислота розчин д/ін. 50 мг/мл по 2 мл №10</t>
  </si>
  <si>
    <t>Аспаркам розчин д/ін. по 10 мл №10</t>
  </si>
  <si>
    <t>Magnesium (different salts in combination)</t>
  </si>
  <si>
    <t>Атракуріум розчин д/ін. 10 мг/мл по 2.5 мл №5</t>
  </si>
  <si>
    <t>Atracurium</t>
  </si>
  <si>
    <t>Атракуріум розчин д/ін. 10 мг/мл по 5 мл №5</t>
  </si>
  <si>
    <t>Атропін розчин д/ін. 1 мг/мл по 1 мл №10</t>
  </si>
  <si>
    <t>Atropine</t>
  </si>
  <si>
    <t>Ацетилсаліцилова кислота таблетки по 500 мг №10</t>
  </si>
  <si>
    <t>Acetylsalicylic acid</t>
  </si>
  <si>
    <t>Баклофен таблетки по 10 мг № 50</t>
  </si>
  <si>
    <t>Baclofen</t>
  </si>
  <si>
    <t>Бензогексоній розчин д/ін. 2.5 % по 1 мл №10</t>
  </si>
  <si>
    <t>Hexamethonium bromide</t>
  </si>
  <si>
    <t>Бісопрол таблетки по 5 мг №30</t>
  </si>
  <si>
    <t>Bisoprolol</t>
  </si>
  <si>
    <t>Верапаміл розчин д/ін. 2.5 мг/мл по 2 мл №10</t>
  </si>
  <si>
    <t>Verapamil</t>
  </si>
  <si>
    <t>Вода для ін'єкцій розчинник д/приг. р-ну д/ін. по 2 мл №10</t>
  </si>
  <si>
    <t>Aqua pro injectioni</t>
  </si>
  <si>
    <t>Вода для ін'єкційя розчинник д/приг. р-ну д/ін. по 5 мл №10</t>
  </si>
  <si>
    <t>Гемаксам р-н д/ін 50мг/мл 10мл №10</t>
  </si>
  <si>
    <t>Tranexamic acid</t>
  </si>
  <si>
    <t>Гемотран розчин д/ін. 100 мг/мл по 5 мл №5</t>
  </si>
  <si>
    <t>Гемотран розчин д/ін. 50 мг/мл по 5 мл №10</t>
  </si>
  <si>
    <t>Гентаміцину сульфат розчин д/ін. 40 мг/мл по 2 мл №10</t>
  </si>
  <si>
    <t>Gentamicin</t>
  </si>
  <si>
    <t>Гепарин розчин д/ін. 5000 МО/мл по 5 мл №5 у флак.</t>
  </si>
  <si>
    <t>Heparin</t>
  </si>
  <si>
    <t>Глюкоза розчин д/ін. 40 % по 20 мл №10</t>
  </si>
  <si>
    <t>Glucose</t>
  </si>
  <si>
    <t>Дексаметазон розчин д/ін. 4 мг/мл по 1 мл №10</t>
  </si>
  <si>
    <t>Dexamethasone</t>
  </si>
  <si>
    <t>Депос суспензія д/ін. по 1 мл №5</t>
  </si>
  <si>
    <t>Betamethasone</t>
  </si>
  <si>
    <t>Дибазол розчин д/ін. 10 мг/мл по 5 мл №10</t>
  </si>
  <si>
    <t>Bendazol</t>
  </si>
  <si>
    <t>Диклофенак розчин д/ін. 25 мг/мл по 3 мл №10</t>
  </si>
  <si>
    <t>Diclofenac</t>
  </si>
  <si>
    <t>Димедрол розчин д/ін. 10 мг/мл по 1 мл №10</t>
  </si>
  <si>
    <t>Diphenhydramine</t>
  </si>
  <si>
    <t>Дитилін розчин д/ін. 20 мг/мл по 5 мл №10</t>
  </si>
  <si>
    <t>Suxamethonium</t>
  </si>
  <si>
    <t>Діаліпон р-н д/інф. 3 % амп. 20 мл №5</t>
  </si>
  <si>
    <t>Thioctic acid</t>
  </si>
  <si>
    <t>Дофамін концентрат для р-ну д/інф. 40 мг/мл по 5 мл №10</t>
  </si>
  <si>
    <t>Dopamine</t>
  </si>
  <si>
    <t>Дротаверин розчин д/ін. 20 мг/мл по 2 мл №5</t>
  </si>
  <si>
    <t>Drotaverine</t>
  </si>
  <si>
    <t>Ебрантил розчин д/ін. 5 мг/мл (50 мг) по 10 мл №5</t>
  </si>
  <si>
    <t>Urapidil</t>
  </si>
  <si>
    <t>Еплетор таблетки, в/плів. обол. по 50 мг №30</t>
  </si>
  <si>
    <t>Eplerenone</t>
  </si>
  <si>
    <t>Етамзилат розчин д/ін. 12.5 % по 2 мл №10</t>
  </si>
  <si>
    <t>Etamsylate</t>
  </si>
  <si>
    <t>Еуфілін розчин д/ін. 20 мг/мл по 5 мл №10</t>
  </si>
  <si>
    <t>Theophylline</t>
  </si>
  <si>
    <t>Зопіклон таблетки по 7.5 мг №10</t>
  </si>
  <si>
    <t>Zopiclone</t>
  </si>
  <si>
    <t>Ібупрофен таблетки по 200 мг №50</t>
  </si>
  <si>
    <t>Ibuprofen</t>
  </si>
  <si>
    <t>Ірбетан таблетки по 300 мг №20</t>
  </si>
  <si>
    <t>Irbesartan</t>
  </si>
  <si>
    <t>Ірбетан-Н таблетки по 300 мг/12.5 мг №30</t>
  </si>
  <si>
    <t>Irbesartan and diuretics</t>
  </si>
  <si>
    <t>Кальцію глюконат (стабілізований) розчин д/ін. 100 мг/мл по 5 мл №10</t>
  </si>
  <si>
    <t>Calcium gluconate</t>
  </si>
  <si>
    <t>Кальція хлорид р-н д/ін. 50,7 мг/мл амп. 10 мл №10</t>
  </si>
  <si>
    <t>Calcium chloride</t>
  </si>
  <si>
    <t>Каптоприл таблетки по 25 мг №20</t>
  </si>
  <si>
    <t>Captopril</t>
  </si>
  <si>
    <t>Карбетоцин розчин д/ін. 100 мкг/мл по 1 мл №5 флак.</t>
  </si>
  <si>
    <t>Carbetocin</t>
  </si>
  <si>
    <t>Кардіо-Дар таблетки, в/плів. обол. по 75 мг №100 у конт.</t>
  </si>
  <si>
    <t>Кветіапінтабл 25мг блістер №30</t>
  </si>
  <si>
    <t>Quetiapine</t>
  </si>
  <si>
    <t>Кетолонг розчин д/ін. 30 мг/мл по 1 мл №10</t>
  </si>
  <si>
    <t>Ketorolac</t>
  </si>
  <si>
    <t>Клосарт таблетки, в/плів. обол. по 50 мг №28</t>
  </si>
  <si>
    <t>Losartan</t>
  </si>
  <si>
    <t>Корвазан таблетки, в/плів. обол. по 12.5 г №30</t>
  </si>
  <si>
    <t>Carvedilol</t>
  </si>
  <si>
    <t>Ксефокам порошок для р-ну д/ін. по 8 мг №5</t>
  </si>
  <si>
    <t>Lornoxicam</t>
  </si>
  <si>
    <t>Лазолекс розчин д/ін. 7.5 мг/мл по 2 мл №5 в амп.</t>
  </si>
  <si>
    <t>Ambroxol</t>
  </si>
  <si>
    <t>Ларфікс таблетки, в/о по 8 мг №100</t>
  </si>
  <si>
    <t>Лідокаїн розчин д/ін. 20 мг/мл по 2 мл №10</t>
  </si>
  <si>
    <t>Lidocaine</t>
  </si>
  <si>
    <t>Лінкоміцин розчин д/ін. 300 мг/мл по 2 мл №10</t>
  </si>
  <si>
    <t>Lincomycin</t>
  </si>
  <si>
    <t>Лоратадин таблетки по 10 мг №10</t>
  </si>
  <si>
    <t>Loratadine</t>
  </si>
  <si>
    <t>Мепенам порошок для р-ну д/ін. по 1 г у флаконі №1</t>
  </si>
  <si>
    <t>Meropenem</t>
  </si>
  <si>
    <t>Метоклопрамід розчин д/ін. 5 мг/мл по 2 мл №10</t>
  </si>
  <si>
    <t>Metoclopramide</t>
  </si>
  <si>
    <t>Налоксон розчин д/ін. 0.4 мг/мл по 1 мл №10</t>
  </si>
  <si>
    <t>Naloxone</t>
  </si>
  <si>
    <t>Напрофф таблетки, в/плів. обол. по 550 мг №10</t>
  </si>
  <si>
    <t>Naproxen</t>
  </si>
  <si>
    <t>Натрію тіосульфат розчин д/ін. 300 мг/мл по 5 мл №10</t>
  </si>
  <si>
    <t>Thiosulfate</t>
  </si>
  <si>
    <t>Небіволол таблетки по 5 мг №28</t>
  </si>
  <si>
    <t>Nebivolol</t>
  </si>
  <si>
    <t>Нікотинова кислота розчин д/ін. 10 мг/мл по 1 мл №10</t>
  </si>
  <si>
    <t>Nicotinic acid</t>
  </si>
  <si>
    <t>Німедар таблетки по 100 мг №30</t>
  </si>
  <si>
    <t>Nimesulide</t>
  </si>
  <si>
    <t>Ніфуроксазид капсули по 200 мг №20</t>
  </si>
  <si>
    <t>Nifuroxazide</t>
  </si>
  <si>
    <t>Новокаїн розчин д/ін. 0.5 % по 200 мл</t>
  </si>
  <si>
    <t>Procaine</t>
  </si>
  <si>
    <t>Новокаїн розчин д/ін. 0.5 % по 5 мл №10</t>
  </si>
  <si>
    <t>Окситоцин розчин д/ін. 5 МО/мл по 1 мл №10</t>
  </si>
  <si>
    <t>Oxytocin</t>
  </si>
  <si>
    <t>Омепразол капсули гастрорезист. тв. по 40 мг №30</t>
  </si>
  <si>
    <t>Omeprazole</t>
  </si>
  <si>
    <t>Омепразол капсули по 20 мг №10</t>
  </si>
  <si>
    <t>Омепразол порошок для р-ну інфузій по 40 мг у флаконі №1</t>
  </si>
  <si>
    <t>Ондансетрон розчин д/ін. 2 мг/мл по 2 мл №5 еметон</t>
  </si>
  <si>
    <t>Ondansetron</t>
  </si>
  <si>
    <t>Ондансетрон розчин д/ін. 2 мг/мл по 4 мл №5</t>
  </si>
  <si>
    <t>Пантопразол порошок для р-ну д/ін. по 40 мг №1 у флак. у пач.</t>
  </si>
  <si>
    <t>Pantoprazole</t>
  </si>
  <si>
    <t>Папаверин розчин д/ін. 20 мг/млпо 2 мл №10</t>
  </si>
  <si>
    <t>Papaverine</t>
  </si>
  <si>
    <t>Парацетамол таблетки по 500 мг №10</t>
  </si>
  <si>
    <t>Paracetamol</t>
  </si>
  <si>
    <t>Пірацетам розчин д/ін. 200 мг/мл по 5 мл №10</t>
  </si>
  <si>
    <t>Piracetam</t>
  </si>
  <si>
    <t>Піридоксин (вітамін В6) розчин д/ін. 50 мг/мл по 1 мл №10</t>
  </si>
  <si>
    <t>Pyridoxine (vit B6)</t>
  </si>
  <si>
    <t>Платифілін розчин д/ін. 2 мг/мл по 1 мл №10</t>
  </si>
  <si>
    <t>Platyphylline</t>
  </si>
  <si>
    <t>Превентор таблетки, в/плів. обол. по 10 мг №30</t>
  </si>
  <si>
    <t>Rosuvastatin</t>
  </si>
  <si>
    <t>Прегабалін капсули по 75 мг №14</t>
  </si>
  <si>
    <t>Pregabalin</t>
  </si>
  <si>
    <t>Екзистакапс тверді 75мг блістер №28</t>
  </si>
  <si>
    <t>Преднізолон розчин д/ін. 30 мг/мл по 1 мл №5</t>
  </si>
  <si>
    <t>Prednisolone</t>
  </si>
  <si>
    <t>Прозерин розчин д/ін. 0.5 мг/мл по 1 мл №10</t>
  </si>
  <si>
    <t>Neostigmine</t>
  </si>
  <si>
    <t>Пропофол емульсія д/інф. 10 мг/мл по 20 мл №5</t>
  </si>
  <si>
    <t>Propofol</t>
  </si>
  <si>
    <t>Пропофол емульсія д/інф. 10 мг/мл по 50 мл у пляш.</t>
  </si>
  <si>
    <t>Ревмастоп розчин д/ін. 10 мг/мл по 1.5 мл №5 в амп.</t>
  </si>
  <si>
    <t>Meloxicam</t>
  </si>
  <si>
    <t>Резоглобін розчин д/ін. 1500 МО (300 мкг) по 2 мл №1</t>
  </si>
  <si>
    <t>Anti-D (rh) immunoglobulin</t>
  </si>
  <si>
    <t>Реополіглюкін розчин д/інф. по 200 мл</t>
  </si>
  <si>
    <t>Рифампіцин капсули по 150 мг №20</t>
  </si>
  <si>
    <t>Rifampicin</t>
  </si>
  <si>
    <t>Сидокард таблетки по 2 мг №30</t>
  </si>
  <si>
    <t>Molsidomine</t>
  </si>
  <si>
    <t>Спазмалгон розчин д/ін. по 5 мл №5</t>
  </si>
  <si>
    <t>Pitofenone and analgesics</t>
  </si>
  <si>
    <t>Стрептоцид таблетки по 300 мг №10</t>
  </si>
  <si>
    <t>Sulfanilamide</t>
  </si>
  <si>
    <t>Сульпірид розчин д/ін. 50 мг/мл по 2 мл №10</t>
  </si>
  <si>
    <t>Sulpiride</t>
  </si>
  <si>
    <t>Сульпірид таблетки по 50 мг №30</t>
  </si>
  <si>
    <t>Тіаміну хлорид (вітамін В1) розчин д/ін. 50 мг/мл по 1 мл №10</t>
  </si>
  <si>
    <t>Thiamine (vit B1)</t>
  </si>
  <si>
    <t>Тіопентал ліофілізат для р-ну д/ін. по 1 г у флаконі №1</t>
  </si>
  <si>
    <t xml:space="preserve">Thiopental </t>
  </si>
  <si>
    <t>Тіоцетам розчин д/ін. по 5 мл №10</t>
  </si>
  <si>
    <t>Торсид розчин д/ін. 5 мг/мл по 4 мл №5</t>
  </si>
  <si>
    <t>Torasemide</t>
  </si>
  <si>
    <t>Торсид таблетки по 10 мг №30</t>
  </si>
  <si>
    <t>Тріомбраст розчин д/ін. 76 % по 20 мл №5</t>
  </si>
  <si>
    <t>Diatrizoic acid</t>
  </si>
  <si>
    <t>Тромбонет таблетки, в/плів. обол. по 75 мг №30</t>
  </si>
  <si>
    <t>Clopidogrel</t>
  </si>
  <si>
    <t>Улсепан таблетки киш./розч. по 40 мг №28 (7х4)</t>
  </si>
  <si>
    <t>Фуросемід розчин д/ін. 10 мг/мл по 2 мл №10</t>
  </si>
  <si>
    <t>Furosemide</t>
  </si>
  <si>
    <t>Хлоропіраміну гідрохлорид розчин д/ін. 20 мг/мл по 1 мл №5</t>
  </si>
  <si>
    <t>Chloropyramine</t>
  </si>
  <si>
    <t>Хумодар Р100Р розчин д/ін. 100 МО/мл по 10 мл №1</t>
  </si>
  <si>
    <t>Insulin (human)</t>
  </si>
  <si>
    <t>Ціанокобаламін розчин д/ін. 0.2 мг/мл по 1 мл №10</t>
  </si>
  <si>
    <t>Cyanocobalamin</t>
  </si>
  <si>
    <t>Ціанокобаламін розчин д/ін. 0.5 мг/мл по 1 мл №10</t>
  </si>
  <si>
    <t>33631400-6 - Антибіотики та хіміотерапевтичні засоби для лікування дерматологічних захворювань</t>
  </si>
  <si>
    <t>МНН</t>
  </si>
  <si>
    <t>Дозування та форми випуску</t>
  </si>
  <si>
    <t>Од. виміру</t>
  </si>
  <si>
    <t>Ібупрофен (Ibuprofen) БУПІРОЛ</t>
  </si>
  <si>
    <t>розчин для інфузій 4 мг/мл по 100 мл</t>
  </si>
  <si>
    <t>Меропенем (Meropenem) МЕРОБАК</t>
  </si>
  <si>
    <t>порошок для приготування розчину для ін’єкцій по 1000 мг</t>
  </si>
  <si>
    <t>Цефепім (Cefepime) УКПІМ</t>
  </si>
  <si>
    <t>порошок для розчину для ін'єкцій або інфузій по 1000 мг</t>
  </si>
  <si>
    <t>Цефотаксим (Cefotaxime)</t>
  </si>
  <si>
    <t>порошок для розчину для ін'єкцій по 1 г</t>
  </si>
  <si>
    <t>Цефтазидим (Ceftazidime)</t>
  </si>
  <si>
    <t>порошок для розчину для ін'єкцій 1 г</t>
  </si>
  <si>
    <t>Цефтриаксон (Ceftriaxone)</t>
  </si>
  <si>
    <t>порошок для розчину для ін'єкцій, по 1000 мг</t>
  </si>
  <si>
    <t>Цефуроксим  (Cefuroxime)</t>
  </si>
  <si>
    <t>порошок для розчину для ін'єкцій  флакон 0,75 г</t>
  </si>
  <si>
    <t>Цефазолін (Cefazolin)</t>
  </si>
  <si>
    <t>Цефтрактам  (Ceftriaxone, combinations)</t>
  </si>
  <si>
    <t>Ципрофлоксацин  (Ciprofloxacin)</t>
  </si>
  <si>
    <t>таблетки по 500 мг</t>
  </si>
  <si>
    <t>33692000-7 — Медичні розчини</t>
  </si>
  <si>
    <t>ДК 021:2015 33696000-5 Реактиви та контрастні речовини:</t>
  </si>
  <si>
    <t>Медико – технічні вимоги</t>
  </si>
  <si>
    <t>Од. вимірювання</t>
  </si>
  <si>
    <t>К-ть</t>
  </si>
  <si>
    <t>Азотна кислота хч</t>
  </si>
  <si>
    <t xml:space="preserve">Стандарт якості ГОСТ 4461-77 </t>
  </si>
  <si>
    <t>Склад набору 1.Субстратно-буферний розчинАлАТ – 1 флакон (50±2) мл ; · Фосфатний буфер (0,100±0,005) моль/л;· D,L-альфа-аланін (0,20±0,01) моль/л;· 2-оксоглутарова кислота (2,0±0,01) ммоль/л; 2. Стоп-реагент – 1 флакон з (50±2) мл;· 2,4-дінітрофенілгідразин (1,00±0,05) ммоль/л;  3. Калібрувальний розчин – 1 ампула з (5,0±0,5) мл; · Піровинограднокислого натрію (2,0±0,1) ммоль/л; 4. Гідроокис натрію розчин (4, 0±0,2) моль/л чи сухий – 1 флакон з (50±2) мл або з (8,00±0,32) г ; Аналітичні характеристики 1. Лінійність повинна забезпечуватись в діапазоні від 0,1 мкмоль/(год*мл) до 2,5 мкмоль/(год*мл) (від 0,028 мккат/л до 0,7 мккат/л ; 2. Коефіцієнт варіації результатів визначень – не більше 6%</t>
  </si>
  <si>
    <t>Антиген кардіоліпіновий RPR-01</t>
  </si>
  <si>
    <t>Кардіоліпіновий антиген, Холін-хлорид 70%, Позитивний контроль 4+</t>
  </si>
  <si>
    <t>Набір реагентів для визначення активності Аспартатамінотрансферази в сироватці, крові, АСаТ (Райтмана-Френкеля метод) НР00.01</t>
  </si>
  <si>
    <t>Склад набору 1.   Субстратно-буферний розчин АСаТ – 1 флакон (50±2) мл; ·     Фосфатний буфер (0,100±0,005) моль/л;·     L-аспарагінова кислота;·     2-оксоглутарова кислота (2,0±0,01) ммоль/л;  2.   Стоп-реагент – 1 флакон з (50±2) мл ; ·     2,4-дінітрофенілгідразин (1,00±0,05) ммоль/л;3. Калібрувальний розчин – 1 ампула з (5,0±0,5) мл; ·     Піровинограднокислого натрію (2,0±0,1) ммоль/л; 4.Гідроокис натрію розчин (4, 0±0,2) моль/л чи сухий – 1 флакон з (50±2) мл або з (8,00±0,32) г ;Аналітичні характеристики ; 1. Лінійність повинна забезпечуватись в діапазоні від 0,1 мкмоль/(год*мл) до 2,5 мкмоль/(год*мл) (від 0,028 мккат/л до 0,7 мккат/л 2. Коефіцієнт варіації результатів визначень – не більше 6%</t>
  </si>
  <si>
    <t>Контрольна сироватка «Біоконт ГК»   НК 008.04</t>
  </si>
  <si>
    <t>Для гематологічних досліджень. Для перевірки відтворюваності та правильності (вірогідності) результатів визначення концентрації аналізів, атестовані показники. Стабільність у відновленому контролі стабільна при температурі +2 - 8°С протягом всього строку дії. 3 х 1,5 мл</t>
  </si>
  <si>
    <t>Діапазон вимірювання концентрацій від 2мг/л до 140 мг/л Коефіцієнт варіації визначення не більше 5% Склад набору:1.Розчин сульфанілової кислоти – 1 фл. по (50±2) мл; сульфанілова кислота – 25 ± 1,2 ммоль/л; 2.Кофеїновий реактив (концентрат) – 2 фл. по (50±2) мл; бензонат натрія - (0,5±0,025) ммоль/л; кофеїн - (50±1,5) г/л; ацетат натрія - (1,5±0,075) ммоль/л; 3.Розчин нітрата натрія 350 ммоль/л – 1 ампула по (5±0,3)мл</t>
  </si>
  <si>
    <t>ФілоНорм КС028.02</t>
  </si>
  <si>
    <t xml:space="preserve">ФілоНорм» призначений для контролю відтворюваності виконання біохімічних аналізів у клініко-діагностичних лабораторіях. Методи досліджень та значення аналітів у контрольному матеріалі представлені в таблиці 1. Зберігання матеріалу - при температурі від плюс 2 °С до плюс 8 °С. Гарантійний термін придатності - 12 місяців від дня виготовлення. </t>
  </si>
  <si>
    <t>фл</t>
  </si>
  <si>
    <t>ГГТ НР007.01</t>
  </si>
  <si>
    <t>Набір реактивів для визначення активності гама-глутамілтранспептидази.Склад набору : 1.Буферний розчин  pH (8,0-8,3) - 1 флакон (50±2) мл; 2.     Оцтова кислота - 2 флакони (50±2) мл;  3.     Калібратор - 1 ампула (5±0,5) мл;4.     Субстрат - 4мікро пробірки Діапазон визначення активності – від 0,05 мккат/л до 5 мккат/Коефіцієнт варіації -не більш як 5%</t>
  </si>
  <si>
    <t>Набір реактивів для визначення концентрації гемоглобіну (геміглобінціанідний метод) 400 визначень</t>
  </si>
  <si>
    <t>Для визначення концентрації гемоглобіну геміглобін ціанідним методом на 400 визначень. Коефіцієнт варіації не більше 2% Склад набору: 1. Ацетонціангідрин – 2 амп. по 0.5 мл.2. Суха суміш реактивів – 2 амп. по 1.2 г. порошок білого кольору з вкрапленнями червоних кристалів 3. Калібрувальний розчин геміглобінцианіду –   1 амп. 5 мл (150 г/л)</t>
  </si>
  <si>
    <t xml:space="preserve">Набір реагентів для визначення кількості глюкози у біологічних рідинах глюкозо- оксидазним методом. Діапазон визначених концентрацій – від 0,056 ммоль/л. до 25 ммоль/л.Коефіцієнт варіації визначення– не більше 5%. Склад набору:1.   Ензими (розчин – 1 флакон з (100±2) мл або 2 флакони по (50±2) мл ;·     пероксидаза (2200±220) U/л ; ·     β, D-глюкозооксидаза (18000±1800) U/л; ·     4-амінофеназон (110±11) мг/л; ·     стабілізатори, активатори.2.   Буферний розчин – 1 флакон з (100±2) мл або 2 флакони по (50±2) мл;·     Фосфатний буфер (рН 7.2 – 7.4) (0,10 ±0,01) моль/л; ·     Фенол (190±19) мг/л ; ·     Стабілізатори; 3.   Антикоагулянт – 1 флакон або пакет; 4.   Калібрувальний розчин глюкози (10,0±0,5) ммоль/л – 1 ампула з (5,0±0,5) мл. </t>
  </si>
  <si>
    <t>Глюкотест № 100</t>
  </si>
  <si>
    <t>Смужки індикаторні для визначення глюкози в сечі</t>
  </si>
  <si>
    <t>. Імунодіагностикумеритроцитарнийімуноглобуліновий для виявлення поверхневого антигену вірусу гепатиту В (HbsAg), сухий. Склад: 1. СЕ - Суха гігроскопічна пориста маса коричневого кольору, після розчинення — мутна рідина червоно-коричневого кольору. 2. К+ - Позитивний контрольний зразок — донорська плазма, що містить HbsAg, інактивована прогріванням протягом 10 годин при температурі (60±1) °С, що не містить антитіл до вірусу гепатиту С та ВІЛ-1,2. Прозора або опалесцююча рідина рожевого кольору. Титр К+ не нижче 1:32 Основні характеристики тест-системи ; Чутливість по антигену за стандартом підприємства – 10 МO/м Специфічність за стандартом підприємства – 100; Набір розрахований на 200 визначень</t>
  </si>
  <si>
    <t>Желатин розчин 10%</t>
  </si>
  <si>
    <t>Блідозабарвлений, желеподібний при температурі оточуючого середовища не вище   23 ºС. Склад: 10 ампул по 10мл 10% желатину</t>
  </si>
  <si>
    <t>упак</t>
  </si>
  <si>
    <t>Лінійність зберігається до 100 мг/л (885 мкмоль/л) Коефіцієнт варіації визначення не більше 6% Склад набора: 1.Розчин пікринової кислоти (0,04±0,02) ммоль/л -1 фл. по (100±2) мл; 2.Розчин трихлороцтової кислоти (1,22±0,061) ммоль/л -1 фл. по (100±2) мл;  3. Гідроокись натрія: розчин 2,3 Н - 1 фл. по (50±2) мл; 4.Ліофілізований креатинін для приготування 8 мл – 1 фл. калібровочного розчину (442,5±22) ммоль/л або 8 мл готового розчину креатиніну (442,5±22) ммоль/л</t>
  </si>
  <si>
    <t>Набір реагентів для визначення загального білка в сироватці або крові. Склад набору: 1.      Ліофілізований альбумін для приготування 5 мл. Калібрувального розчину (50±2) г/л – 1 флакон;2.      Біуретовий реагент (концентрований розчин) -2флакони по (100±2)мл; Аналітичні характеристики 1.      Дапазон визначених концентрацій: від 5 г/л до 100 г/л 2.      Коефіцієнт варіації результатів визначень – не більше 5%</t>
  </si>
  <si>
    <r>
      <t xml:space="preserve">Якісне виявлення сумарних антитіл до </t>
    </r>
    <r>
      <rPr>
        <i/>
        <sz val="10"/>
        <rFont val="Times New Roman"/>
        <family val="1"/>
        <charset val="204"/>
      </rPr>
      <t>Treponema pallidum</t>
    </r>
    <r>
      <rPr>
        <sz val="10"/>
        <rFont val="Times New Roman"/>
        <family val="1"/>
        <charset val="204"/>
      </rPr>
      <t xml:space="preserve">  96 визначень</t>
    </r>
  </si>
  <si>
    <t>л</t>
  </si>
  <si>
    <t>Діагностикум для виявлення ревматоїдного фактору в сироватці крові. Чутливість тесту становить 12 МОд/мл, (аглютинація на 2+) Склад набору^1. Реагент 1. Латексна суспензія, 2 мл (1 шт.); 2. Реагент 2. Розчинник, 14 мл (1 шт.);3. Реагент 3. Позитивний контроль, який містить РФ більше 12 МОд/мл, 0.2 мл (1 шт) ;4. Реагент 4. Негативний контроль, який містить РФ менше 12 МОд/мл, 0.2 мл (1 шт.); 5. Палички для розмішування сироваток (100 шт.);6. Тестовий слайд (1 шт.)</t>
  </si>
  <si>
    <t>Набір для визначення  сечової кислоти у біологічних рідинах.Діапазон визначення  концентрації від 80 мкмоль/л до 1200 мкмоль/л Коефіцієнт варіації  не більше 5% Склад набору:1.1. Фосфорновольфрамовий реактив – 1 флакон з (100±2) мл; 2.2. Розчин каталізатору – 1 флакон . (50±2) мл; 3.3. Вольфрамат натрію (0,30±0,01) моль/л – 1 флакон (50±2) мл; 4.4. Калібрувальний розчин сечової кислоти (300±3) кмоль/л – 1 флакон (9±0,5) мл; 5.5. Карбанат натрію – 1 флакон або поліетиленовий пакет (20,5±0,5) г</t>
  </si>
  <si>
    <t>Набір для визначення сечовини (діацетил-монооксимним методом) Склад набору 1. Реагент №1 - 500мл. 2. Реагент №2 - 250мл. 3. Стандарт. Водний розчин сечовини 16,65 ммоль/л.; 1фл.- 3мл.</t>
  </si>
  <si>
    <t>С-реактивний білок (СРБ) латекс – тест200 визначень</t>
  </si>
  <si>
    <t>Діагностикум для виявлення с-реактивного білку в сироватці крові. Чутливість тесту становить 6мг\л, (аглютинація на 2+) Склад набору: 1. Реагент 1. Латексна суспензія, 2 мл (1 шт.);2. Реагент 2. Розчинник, 14 мл (1 шт.);3. Реагент 3. Позитивний контроль, який містить СРБ більше 6 мг/л, 0.2 мл (1 шт); 4. Реагент 4. Негативний контроль, який містить менше 6 мг/л, 0.2 мл (1 шт.); 5. Палички для розмішування сироваток (100 шт.); 6. Тестовий слайд (1 шт)</t>
  </si>
  <si>
    <t>Сульфосаліцилова кислота</t>
  </si>
  <si>
    <t>Білі кристали, масова частка основної речовини 99-104%. Кваліфікація "чда". Прозорість - прозорий і безбарвний в 20% водному розчині.</t>
  </si>
  <si>
    <t>кг</t>
  </si>
  <si>
    <t>Діагностичний моноклональний реагент Анти-D 10 мл групи крові за системою АВ0 Групотест</t>
  </si>
  <si>
    <t>Діагностичний моноклональний реагент анти-D, системи Rhesus, призначений для виявлення антигену D еритроцитів людини за допомогою прямої реакці їаглютинації.Пластиковий флакон з вмістом моноклональних антитіл. Прозораабо з незначною опалесценцією рідина Титр моноклональних, специфічних антитіл повинен бути позиції не менше 1:32. рН від 6,5 до 7,2. Загальний термін придатності 2,5 роки.</t>
  </si>
  <si>
    <t>Діагностичний моноклональний реагент Анти-А  101мл для визначення групи крові за системою АВ0 Групотест</t>
  </si>
  <si>
    <t>Діагностичний моноклональний реагент анти-А призначений для визначення групи крові людини за системою АВ0 шляхом виявлення антигену А еритроцитівлюдини за допомогою прямої реакції аглютинації.Пластиковий флакон з вмістом моноклональних антитіл Прозора або з незначною опалесценцією рідина різних відтінків червоного кольору. Титр моноклональних, специфічних антитіл повинен бути позиції не менше 1:32. рН від 6,5 до 7,2. Загальний термін придатності 2.5 роки.</t>
  </si>
  <si>
    <t>Діагностичний моноклональний реагент Анти-В 10 мл групи крові за системою АВ0 Групотест</t>
  </si>
  <si>
    <t xml:space="preserve"> Діагностичний моноклональний реагент анти-В призначений для визначення групи крові людини за системою АВ0 шляхом виявлення антигену В еритроцитів людини за допомогою прямої реакці їаглютинації. Пластиковий флакон з вмістом моноклональних антитіл. Прозора або з незначною опалесценцією рідина від блідо-фіолетового до синього кольору. Титр моноклональних, специфічних антитіл повинен бути позиції не менше 1:32. рН від 6,5 до 7,2. Загальний термін придатності 2,5 роки</t>
  </si>
  <si>
    <t>Діагностичний моноклональний реагент Анти-С 10 мл групи крові за системою АВ0 Групотест</t>
  </si>
  <si>
    <t>Діагностичний моноклональний реагент анти-С, системиRhesus, призначений для виявлення антигену С еритроцитів людини за допомогою прямої реакції аглютинації.Пластиковий флакон з вмістом моноклональних антитіл Прозора або з незначною опалесценцією з рожевим або жовтуватим відтінком рідина. Титр моноклональних, специфічних антитіл повинен бути позиції не менше 1:16. Загальний термін придатності 2 роки</t>
  </si>
  <si>
    <t>Тромбопластин Генезіс</t>
  </si>
  <si>
    <t>Набір тромбопластин для визначення протромбінового часу (протромбінів індекс) плазми крові (метод Квіка). Склад  набору: Тромбопластин 1 г</t>
  </si>
  <si>
    <t>Фарбник-фіксатор Еозин- метиленовий синій по Май – Грюнвальду 1л</t>
  </si>
  <si>
    <t>Рухлива рідина темно – синього кольору для забарвлення формених елементів крові</t>
  </si>
  <si>
    <t>Азур – еозин по Романовському 1 л</t>
  </si>
  <si>
    <t>Розчин чда Рідина темно – синього кольору для забарвлення формених елементів крові</t>
  </si>
  <si>
    <t>Набір реактивів для визначення холестерину-ферментований методНР026.02</t>
  </si>
  <si>
    <t>Діапазон визначаємих активностей – від 0,5 ммоль до 19,4 ммоль. Коефіцієнт варіації визначення – не більше 5% Склад набору: 1. Ензимний реагент  2 фл. по (100±2) мл або      4 фл. по (50±2) мл:* холестеринестераза - (150±15) Е/л; * холестериноксидаза – (100±10) Е/л;* пероксидаза  – (5,0±0,5) КЕ/л; * 4 – амінофеназон – (0,300±0,015) ммоль/л;* фенол (30,0±1,5) ммоль/л;* ТРІС (30,0±1,5) ммоль/л * стабілізатори, активатори2. Калібрувальний розчин холестерину – 1 ампула або флакон з (1,5±0,1) мл  з концентрацією (5,17±0,10) ммоль/л ;</t>
  </si>
  <si>
    <t>М-30CFL LYSE 500 мл</t>
  </si>
  <si>
    <t>Реактив для гематологічного дослідження на гематологічному аналізаторі mindray BC-30s</t>
  </si>
  <si>
    <t>Контроль на кров для гематологічних досліджень на гематологічному аналізаторі mindray BC-30</t>
  </si>
  <si>
    <t>Набір реагентів HemoStar  Тромбопластин-СІ для визначення протромбінового часу</t>
  </si>
  <si>
    <t>Набір реагента для визначення протромбінового часу 6*2 мл  HemoStar</t>
  </si>
  <si>
    <t>Смужки індикаторні для визначення кетонових тіл  в сечі</t>
  </si>
  <si>
    <t>Метиленовий синій</t>
  </si>
  <si>
    <t>Порошок  водорозчинний</t>
  </si>
  <si>
    <t>Натрій лимоно –кислий 3-заміщени</t>
  </si>
  <si>
    <t>Білі кристали</t>
  </si>
  <si>
    <t>Кг.</t>
  </si>
  <si>
    <t>Набір реактивів  для визначення тимолової проби</t>
  </si>
  <si>
    <t>Набір реактивів  для визначення серомукоїдів в сироватці крові (турбодиметричний метод)</t>
  </si>
  <si>
    <t>Набір реактивів для визначення азопірамової проби</t>
  </si>
  <si>
    <t xml:space="preserve">Смужки індикаторні для визначення pH в сечі </t>
  </si>
  <si>
    <t>Кальцій НР 013.01</t>
  </si>
  <si>
    <t>Набір для кількісного визначення загального кальцію в біологічних рідинах, розрахований на 106 напівмікро ,50 макровизначень.</t>
  </si>
  <si>
    <t>Дубровська Т.І.</t>
  </si>
  <si>
    <t>Лікар - ортопед - травматолог</t>
  </si>
  <si>
    <t>Козак О. А.</t>
  </si>
  <si>
    <t>Лікар-отоларинголог</t>
  </si>
  <si>
    <t>Лікар-офтальмолог</t>
  </si>
  <si>
    <t>Лікар - психіатр</t>
  </si>
  <si>
    <t>Гаврилюк І. В.</t>
  </si>
  <si>
    <t xml:space="preserve">Лікар - стоматолог </t>
  </si>
  <si>
    <t xml:space="preserve">Лікар - терапевт </t>
  </si>
  <si>
    <t>Лікар-уролог</t>
  </si>
  <si>
    <t>Лікар-хірург</t>
  </si>
  <si>
    <t>Лікар з ультразвукової діагностики</t>
  </si>
  <si>
    <t>Сегеда А.В.</t>
  </si>
  <si>
    <t>Шевчук О. М.</t>
  </si>
  <si>
    <t>Пашков В.М.</t>
  </si>
  <si>
    <t>Лікар - анестезіолог</t>
  </si>
  <si>
    <t>Лікар - педіатр</t>
  </si>
  <si>
    <t>Кучмук С. О.</t>
  </si>
  <si>
    <t>Лікар - невропатолог</t>
  </si>
  <si>
    <t>Ткачук Н.В.</t>
  </si>
  <si>
    <t>Лікар - терапевт</t>
  </si>
  <si>
    <t>Ватащук В.О.</t>
  </si>
  <si>
    <t>Лікар - хірург</t>
  </si>
  <si>
    <t>Долішняк Р.В.</t>
  </si>
  <si>
    <t>Мосійчук Т.О.</t>
  </si>
  <si>
    <t>Клемра В.В.</t>
  </si>
  <si>
    <t>Костів Ю.І.</t>
  </si>
  <si>
    <t>ДОПОМІЖНІ ЛІКУВАЛЬНО - ДІАГНОСТИЧНІ ПІДРОЗДІЛИ</t>
  </si>
  <si>
    <t>КЛІНІКО-ДІАГНОСТИЧНА ЛАБОРАТОРІЯ</t>
  </si>
  <si>
    <t>Завідувач лабораторії , лікар - лаборант</t>
  </si>
  <si>
    <t>Губарєва Л. В.</t>
  </si>
  <si>
    <t>Карпюк Л. І.</t>
  </si>
  <si>
    <t>Лікар - рентгенолог</t>
  </si>
  <si>
    <t>ІІ рентгенологія № 58-ос/к  28.05.2020</t>
  </si>
  <si>
    <t>Шевченко Л.П.</t>
  </si>
  <si>
    <t>Стецюк О.Є.</t>
  </si>
  <si>
    <t>ПРИЙМАЛЬНЕ ВІДДІЛЕННЯ</t>
  </si>
  <si>
    <t>Павленко О.Ю.</t>
  </si>
  <si>
    <t>Філюк А.В.</t>
  </si>
  <si>
    <t>Денис А.В.</t>
  </si>
  <si>
    <t>ЗАГАЛЬНО - ЛІКАРНЯНИЙ ПЕРСОНАЛ</t>
  </si>
  <si>
    <t>Головна медична сестра (головний медичний брат)</t>
  </si>
  <si>
    <t>Росоловська Є. П.</t>
  </si>
  <si>
    <t>Сестра медична ( брат медичний ) стаціонару</t>
  </si>
  <si>
    <t>Шевчук А.Л.</t>
  </si>
  <si>
    <t>Сестра медична ( брат медичний ) з дієтичного харчування</t>
  </si>
  <si>
    <t>Березюк Л. М.</t>
  </si>
  <si>
    <t>Акушерка (акушер)</t>
  </si>
  <si>
    <t>Шутовська І.М.</t>
  </si>
  <si>
    <t>вища категорія сестринська справа № 61-ос/к - 11.06.2020</t>
  </si>
  <si>
    <t>Філіпчук Г.Ф.</t>
  </si>
  <si>
    <t>Сестра медична (брат медичний) поліклініки (психіатричний кабінет)</t>
  </si>
  <si>
    <t>Романюк Т. П.</t>
  </si>
  <si>
    <t>Скуба С.О.</t>
  </si>
  <si>
    <t>Джусюк Л. М.</t>
  </si>
  <si>
    <t>Панасюк А. Л.</t>
  </si>
  <si>
    <t>Побережнюк Т.М.</t>
  </si>
  <si>
    <t>вища категорія сестринська справа № 349-ос/к - 03.12.2019</t>
  </si>
  <si>
    <t>Сестра медична старша ( брат медичний старший )</t>
  </si>
  <si>
    <t>вища категорія сестринська справа № 52-ос/к - 14.05.2020</t>
  </si>
  <si>
    <t>Захарчук І.В.</t>
  </si>
  <si>
    <t>Сидорук В. Є.</t>
  </si>
  <si>
    <t>Ющук А. А.</t>
  </si>
  <si>
    <t>Дудар Н.В.</t>
  </si>
  <si>
    <t>Волянська В.В.</t>
  </si>
  <si>
    <t>Антонюк Л.П.</t>
  </si>
  <si>
    <t>Ващук Л.В.</t>
  </si>
  <si>
    <t>Остапчук С. П.</t>
  </si>
  <si>
    <t>Сестра медична - анестезист ( брат медичний - анестезист )</t>
  </si>
  <si>
    <t>Березовська Н.П.</t>
  </si>
  <si>
    <t>Сестра медична ( брат медичний ) стаціонару (процедурна, процедурний )</t>
  </si>
  <si>
    <t>І категорія сестринська справа № 343-ос/к - 21.11.2019</t>
  </si>
  <si>
    <t>Виноградова О.П.</t>
  </si>
  <si>
    <t>Яблонська О.В.</t>
  </si>
  <si>
    <t>вища категорія сестринська справа № 31-ос/к - 12.03.2020</t>
  </si>
  <si>
    <t>Вишневська В.С.</t>
  </si>
  <si>
    <t>Волик Г. М.</t>
  </si>
  <si>
    <t>Зеленко Л. О.</t>
  </si>
  <si>
    <t>Костюк З.М.</t>
  </si>
  <si>
    <t>Лоза Н. П.</t>
  </si>
  <si>
    <t>Магдевич І.О.</t>
  </si>
  <si>
    <t>Малініна О.П.</t>
  </si>
  <si>
    <t>Пархомчук О.М.</t>
  </si>
  <si>
    <t>Савчук О.М.</t>
  </si>
  <si>
    <t>Скубюк Ю.В.</t>
  </si>
  <si>
    <t>Тимощук Ю.І.</t>
  </si>
  <si>
    <t>Візітів Н.І.</t>
  </si>
  <si>
    <t>Гусар Л.І.</t>
  </si>
  <si>
    <t>Колбач А.В.</t>
  </si>
  <si>
    <t>Козел О.А.</t>
  </si>
  <si>
    <t>Максимюк О.В.</t>
  </si>
  <si>
    <t>Бродосюк Л.В.</t>
  </si>
  <si>
    <t>Боярин В.А.</t>
  </si>
  <si>
    <t>Дейна А.М.</t>
  </si>
  <si>
    <t>Тучапець Т.М.</t>
  </si>
  <si>
    <t>вища категорія сестринська справа № 19-ос/к - 13.02.2020</t>
  </si>
  <si>
    <t>Шай Л.С.</t>
  </si>
  <si>
    <t>Власюк А.М.</t>
  </si>
  <si>
    <t>Панасюк Л.В.</t>
  </si>
  <si>
    <t>Сестра медична ( брат медичний ) дитячого стаціонару</t>
  </si>
  <si>
    <t>Мушка Н.Л.</t>
  </si>
  <si>
    <t>Бречко Л. П.</t>
  </si>
  <si>
    <t>Попова Л.Л.</t>
  </si>
  <si>
    <t>Загайна В.О.</t>
  </si>
  <si>
    <t>Ройчук Н.Л.</t>
  </si>
  <si>
    <t>Сестра медична ( брат медичний ) стаціонару (перев'язувальна, перев'язувальний )</t>
  </si>
  <si>
    <t>Павленко Т. А.</t>
  </si>
  <si>
    <t>Троць І.Л.</t>
  </si>
  <si>
    <t>Курчинська Р.П.</t>
  </si>
  <si>
    <t>Кондратовець Н.В.</t>
  </si>
  <si>
    <t>Архипчук А. С.</t>
  </si>
  <si>
    <t>Остапчук Л. К.</t>
  </si>
  <si>
    <t>Бондарук Г. Г.</t>
  </si>
  <si>
    <t>Лаборант клінічної лабораторії</t>
  </si>
  <si>
    <t>Рудь В. А.</t>
  </si>
  <si>
    <t>Котюк О.В.</t>
  </si>
  <si>
    <t>Капітанюк Л.М.</t>
  </si>
  <si>
    <t>ОПЕРАЦІЙНИЙ БЛОК</t>
  </si>
  <si>
    <t>Сестра медична операційна ( брат медичний операційний )</t>
  </si>
  <si>
    <t>Синюк А.С.</t>
  </si>
  <si>
    <t>Готь Т. І.</t>
  </si>
  <si>
    <t>Лясковська Н.М.</t>
  </si>
  <si>
    <t>Ковальчук В.В.</t>
  </si>
  <si>
    <t>Шевчук І.І.</t>
  </si>
  <si>
    <t>Рентгенолаборант</t>
  </si>
  <si>
    <t>Стасюк А.В.</t>
  </si>
  <si>
    <t>Чайка М. П.</t>
  </si>
  <si>
    <t>Драганчук Р.М.</t>
  </si>
  <si>
    <t>Іщук Л.А.</t>
  </si>
  <si>
    <t>Арестович Т.Л.</t>
  </si>
  <si>
    <t>Поліщук І.В.</t>
  </si>
  <si>
    <t>вища категорія сестринська справа № 362-ос/к - 18.12.2019</t>
  </si>
  <si>
    <t>Шевчук Т.А.</t>
  </si>
  <si>
    <t>Гацик Т. С.</t>
  </si>
  <si>
    <t>Власюк В.П.</t>
  </si>
  <si>
    <t>Романюк Ю. Л.</t>
  </si>
  <si>
    <t>Лоцманова Т.М.</t>
  </si>
  <si>
    <t>Белік Л. М.</t>
  </si>
  <si>
    <t>Краснопера М.Б.</t>
  </si>
  <si>
    <t>ЦЕНТРАЛІЗОВАНА СТЕРИЛІЗАЦІЙНА</t>
  </si>
  <si>
    <t>Сестра медична ( брат медичний ) (стерилізаційної)</t>
  </si>
  <si>
    <t>Луцюк Ж. П.</t>
  </si>
  <si>
    <t>ІНФОРМАЦІЙНО - АНАЛІТИЧНИЙ ВІДДІЛ</t>
  </si>
  <si>
    <t>Статистик медичний</t>
  </si>
  <si>
    <t>ІІ категорія медична статистика № 307-ос/к  21.09.2020</t>
  </si>
  <si>
    <t>Годлевська Л.Є.</t>
  </si>
  <si>
    <t>Молодша медична сестра (молодший медичний брат) (санітарка палатна, санітар палатний)</t>
  </si>
  <si>
    <t>Тиндюк Н. Л.</t>
  </si>
  <si>
    <t>Деменік Т. І.</t>
  </si>
  <si>
    <t>Шкуренко Н.Г.</t>
  </si>
  <si>
    <t>Денисюк Л.А.</t>
  </si>
  <si>
    <t>Зуй С. А.</t>
  </si>
  <si>
    <t>Маєвська Н.Б.</t>
  </si>
  <si>
    <t>Малініна Г.О.</t>
  </si>
  <si>
    <t>Осипчук Р.П.</t>
  </si>
  <si>
    <t>Терещук Л.М.</t>
  </si>
  <si>
    <t>Ткачук Л.Є.</t>
  </si>
  <si>
    <t>Яриніч В.А.</t>
  </si>
  <si>
    <t>Косинець Т.П.</t>
  </si>
  <si>
    <t>Майструк Ж. А.</t>
  </si>
  <si>
    <t>Лесюк Л.М.</t>
  </si>
  <si>
    <t>Левчук Т.М.</t>
  </si>
  <si>
    <t>Торожнюк С.В.</t>
  </si>
  <si>
    <t>Катеринюк Т.І.</t>
  </si>
  <si>
    <t>Шевчук Л. М.</t>
  </si>
  <si>
    <t>Шадойко Т. Р.</t>
  </si>
  <si>
    <t>Мельник Н.М.</t>
  </si>
  <si>
    <t>Мельничук Л.Ю.</t>
  </si>
  <si>
    <t>Молодша медична сестра (молодший медичний брат) (санітарка , санітар)</t>
  </si>
  <si>
    <t>Шломіна М.С.</t>
  </si>
  <si>
    <t>Московчук О.В.</t>
  </si>
  <si>
    <t>Миколайчук Л.В.</t>
  </si>
  <si>
    <t>Дем'янюк О.О.</t>
  </si>
  <si>
    <t>Белей О.Б.</t>
  </si>
  <si>
    <t>Реєстратор медичний</t>
  </si>
  <si>
    <t>Мохнюк Т. Є.</t>
  </si>
  <si>
    <t>Головний бухгалтер</t>
  </si>
  <si>
    <t>Шкробот Л.П.</t>
  </si>
  <si>
    <t>Заступник головного бухгалтера</t>
  </si>
  <si>
    <t>Бухгалтер</t>
  </si>
  <si>
    <t xml:space="preserve">Бухгалтер </t>
  </si>
  <si>
    <t>Головатчук В.М.</t>
  </si>
  <si>
    <t>Завідувач господарства</t>
  </si>
  <si>
    <t>Кучинський І.Р.</t>
  </si>
  <si>
    <t>Завідувач складу</t>
  </si>
  <si>
    <t>Скрипчук Н.М.</t>
  </si>
  <si>
    <t xml:space="preserve">Інженер - програміст </t>
  </si>
  <si>
    <t xml:space="preserve">Інженер з охорони праці </t>
  </si>
  <si>
    <t>провідний № 95а-од - 12.12.2019</t>
  </si>
  <si>
    <t>Поручник О. М.</t>
  </si>
  <si>
    <t>Інженер з ремонту (медичної техніки)</t>
  </si>
  <si>
    <t>І категорія № 95а-од - 12.12.2019</t>
  </si>
  <si>
    <t>Павлюк О.П.</t>
  </si>
  <si>
    <t>Касир</t>
  </si>
  <si>
    <t>Помічник керівника</t>
  </si>
  <si>
    <t>Самелюк О.І.</t>
  </si>
  <si>
    <t>Садовий В.М.</t>
  </si>
  <si>
    <t xml:space="preserve">Фахівець з питань цивільного захисту </t>
  </si>
  <si>
    <t>провідний № 136-од - 30.12.2016</t>
  </si>
  <si>
    <t>Іванюк Р.С.</t>
  </si>
  <si>
    <t>Юрисконсульт</t>
  </si>
  <si>
    <t>Водій автотранспортних засобів</t>
  </si>
  <si>
    <t>3 класн.</t>
  </si>
  <si>
    <t>Андросюк Л.Л.</t>
  </si>
  <si>
    <t xml:space="preserve">Антонюк Р.О. </t>
  </si>
  <si>
    <t>1 класн.</t>
  </si>
  <si>
    <t>Петроченко А.В.</t>
  </si>
  <si>
    <t>Гайда Б.В.</t>
  </si>
  <si>
    <t>Кухар</t>
  </si>
  <si>
    <t>V розряд № 95а-од - 12.12.2019</t>
  </si>
  <si>
    <t>Ярмолюк Н.П.</t>
  </si>
  <si>
    <t>Карпюк Н. А.</t>
  </si>
  <si>
    <t>Кухонний робітник</t>
  </si>
  <si>
    <t>Ткачук Д.В.</t>
  </si>
  <si>
    <t>Мизернюк С.П.</t>
  </si>
  <si>
    <t>Ліфтер</t>
  </si>
  <si>
    <t>Глинюк Н.В.</t>
  </si>
  <si>
    <t>Машиніст насосних установок</t>
  </si>
  <si>
    <t>ІV розряд № 95а-од - 12.12.2019</t>
  </si>
  <si>
    <t>Євчук В. С.</t>
  </si>
  <si>
    <t>Монтажник санітарно-технічних систем і устаткування</t>
  </si>
  <si>
    <t>Прибиральник службових приміщень</t>
  </si>
  <si>
    <t>Козачук С.Б.</t>
  </si>
  <si>
    <t>Прибиральник територій</t>
  </si>
  <si>
    <t>Халімон В.Б.</t>
  </si>
  <si>
    <t>Робітник з комплексного обслуговування й ремонту будинків</t>
  </si>
  <si>
    <t>Олексюк В.Є.</t>
  </si>
  <si>
    <t>Машиніст (кочегар) котельні</t>
  </si>
  <si>
    <t xml:space="preserve">Головний бухгалтер     </t>
  </si>
  <si>
    <t>Члени комісії</t>
  </si>
  <si>
    <t>(03368) 21248</t>
  </si>
  <si>
    <t>РАЗОМ</t>
  </si>
  <si>
    <t>Штатні посади</t>
  </si>
  <si>
    <t>інший операційний дохід</t>
  </si>
  <si>
    <t>інші доходи</t>
  </si>
  <si>
    <t>січень</t>
  </si>
  <si>
    <t>липень</t>
  </si>
  <si>
    <t>Лікарські засоби</t>
  </si>
  <si>
    <t>Вироби медичного призначення та допоміжні засоби тощо</t>
  </si>
  <si>
    <t>Дезинфекційні засоби</t>
  </si>
  <si>
    <t>Засоби індивідуального захисту</t>
  </si>
  <si>
    <t>Будівельні матеріали</t>
  </si>
  <si>
    <t>Паливно-мастильні матеріали</t>
  </si>
  <si>
    <t>М’який інвентар</t>
  </si>
  <si>
    <t>Господарські матеріали</t>
  </si>
  <si>
    <t>Ремонт</t>
  </si>
  <si>
    <t>Ремонт медичного обладнання</t>
  </si>
  <si>
    <t>Ремонт приміщень</t>
  </si>
  <si>
    <t>Ремонт ліфтів, оргтехніки, ПК</t>
  </si>
  <si>
    <t>Ремонт Авто</t>
  </si>
  <si>
    <t>Інший ремонт</t>
  </si>
  <si>
    <t>Інші матеріальні витрати</t>
  </si>
  <si>
    <t>Підготовка (перепідготовка) кадрів  та підвищення кваліфікації</t>
  </si>
  <si>
    <t>Послуги (крім комунальних)</t>
  </si>
  <si>
    <t>Зовнішні послуги з медичної допомоги</t>
  </si>
  <si>
    <t>ТО/сервісне обслуговування/поверка  НМА</t>
  </si>
  <si>
    <t>ТО медобладнання</t>
  </si>
  <si>
    <t>ТО ліфти, ПК, оргтехніка, телефони</t>
  </si>
  <si>
    <t>ТО, сервісне обслуговування авто</t>
  </si>
  <si>
    <t>ТО/обслуговування ННМА (ППЗ)</t>
  </si>
  <si>
    <t>Зв'язок, інтернет</t>
  </si>
  <si>
    <t>Послуги з прання</t>
  </si>
  <si>
    <t>Охорона</t>
  </si>
  <si>
    <t>Пожежна охорона</t>
  </si>
  <si>
    <t>Послуги з харчування</t>
  </si>
  <si>
    <t>Страхування</t>
  </si>
  <si>
    <t>Податки</t>
  </si>
  <si>
    <t>Банківське обслуговування</t>
  </si>
  <si>
    <t>Відшкодування вартості пільгових ліків, інсулінів</t>
  </si>
  <si>
    <t>кВт год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</si>
  <si>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</si>
  <si>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</si>
  <si>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</si>
  <si>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</si>
  <si>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</si>
  <si>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</si>
  <si>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</si>
  <si>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</si>
  <si>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</si>
  <si>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</si>
  <si>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</si>
  <si>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</si>
  <si>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№ з/п</t>
  </si>
  <si>
    <t>Оплата електроенергії</t>
  </si>
  <si>
    <t>ІV квартал</t>
  </si>
  <si>
    <t>м3</t>
  </si>
  <si>
    <t>грн.</t>
  </si>
  <si>
    <t>Директор</t>
  </si>
  <si>
    <t>Медичний директор</t>
  </si>
  <si>
    <t>Заступник медичного директора з якості медичного обслуговування</t>
  </si>
  <si>
    <t>Заступник директора з економічних питань</t>
  </si>
  <si>
    <t>Лікар-епідеміолог</t>
  </si>
  <si>
    <t>Окуневич В.М.</t>
  </si>
  <si>
    <t>І категорія ортопедія і травматологія № 234-ос/к - 29.07.2021</t>
  </si>
  <si>
    <t>Гордіюк Р.Є.</t>
  </si>
  <si>
    <t>Лікар - анестезіолог дитячий</t>
  </si>
  <si>
    <t>вища категорія інфекційні хвороби № 288-ос/к - 28.10.2021</t>
  </si>
  <si>
    <t>І категорія терапія № 264-ос/к - 30.09.2021</t>
  </si>
  <si>
    <t>Панасюк Д.В.</t>
  </si>
  <si>
    <t>вища категорія сестринська справа № 237-ос/к - 07.10.2021</t>
  </si>
  <si>
    <t>Богачова А.А.</t>
  </si>
  <si>
    <t>вища категорія сестринська справа № 39-ос/к - 04.03.2021</t>
  </si>
  <si>
    <t>вища категорія сестринська справа № 58-ос/к - 08.04.2021</t>
  </si>
  <si>
    <t>І категорія сестринська справа № 58-ос/к - 08.04.2021</t>
  </si>
  <si>
    <t>вища категорія сестринська справа № 254-ос-к - 09.09.2021</t>
  </si>
  <si>
    <t>вища категорія сестринська справа № 43-ос/к - 17.03.2021</t>
  </si>
  <si>
    <t>вища категорія сестринська справа № 258-ос/к - 22.09.2021</t>
  </si>
  <si>
    <t>вища категорія сестринська справа (операційна) № 58-ос/к - 08.04.2021</t>
  </si>
  <si>
    <t>вища категорія лабораторна справа (клініка) № 258-ос/к - 22.09.2021</t>
  </si>
  <si>
    <t>вища категорія лабораторна справа (клініка) № 62-ос/к - 21.04.2021</t>
  </si>
  <si>
    <t>вища категорія лабораторна справа (клініка) № 39-ос/к - 04.03.2021</t>
  </si>
  <si>
    <t>І категорія лабораторна справа (клініка) № 39-ос/к - 04.03.2021</t>
  </si>
  <si>
    <t>Клімішина О.В.</t>
  </si>
  <si>
    <t>Росоловська Н.В.</t>
  </si>
  <si>
    <t>Психолог</t>
  </si>
  <si>
    <t>Миронюк С.О.</t>
  </si>
  <si>
    <t>Доплата до указу президента</t>
  </si>
  <si>
    <t>Лікарський персонал</t>
  </si>
  <si>
    <t>Віктор РЕДЗІЙ</t>
  </si>
  <si>
    <t>Фахівець з публічних закупівель</t>
  </si>
  <si>
    <t xml:space="preserve">предмети, матеріали </t>
  </si>
  <si>
    <t xml:space="preserve">основні засоби </t>
  </si>
  <si>
    <t>малоцінні необоротні матеріальні активи</t>
  </si>
  <si>
    <t>Факт минулого року</t>
  </si>
  <si>
    <t>Комунальне підприємство</t>
  </si>
  <si>
    <t>Міністерство охорони здоров'я України</t>
  </si>
  <si>
    <t>за СКОДУ</t>
  </si>
  <si>
    <t>Рожищенська міська територіальна громада</t>
  </si>
  <si>
    <t>01982910</t>
  </si>
  <si>
    <t>0724510100</t>
  </si>
  <si>
    <r>
      <t xml:space="preserve">Витрати на канцтовари, офісне приладдя та устаткування , грн.
</t>
    </r>
    <r>
      <rPr>
        <sz val="16"/>
        <rFont val="Times New Roman"/>
        <family val="1"/>
        <charset val="204"/>
      </rPr>
      <t>(частина адміністративних витрат)</t>
    </r>
  </si>
  <si>
    <t>Рожищенський міський голова</t>
  </si>
  <si>
    <t xml:space="preserve">        Вячеслав ПОЛІЩУК</t>
  </si>
  <si>
    <t>Керівники структурних підрозділів</t>
  </si>
  <si>
    <t>Інші працівники</t>
  </si>
  <si>
    <t xml:space="preserve">Керівники </t>
  </si>
  <si>
    <t xml:space="preserve">Середній медичний персонал </t>
  </si>
  <si>
    <t>Транспортний засіб (мотоцикл, квадроцикл, мотороллер) або велосипед [6]</t>
  </si>
  <si>
    <t>Небулайзер</t>
  </si>
  <si>
    <t>Мікроскоп</t>
  </si>
  <si>
    <t>Гематологічний аналізатор</t>
  </si>
  <si>
    <t>Біохімічний аналізатор</t>
  </si>
  <si>
    <t>Лабораторний посуд, дозатори, витратні матеріали</t>
  </si>
  <si>
    <t>Освітлювач переносний безтіньовий</t>
  </si>
  <si>
    <t>Стіл для інструментів, мобільний</t>
  </si>
  <si>
    <t>Холодильник для зберігання вакцин</t>
  </si>
  <si>
    <t>Сповивальний столик</t>
  </si>
  <si>
    <t>Ширма</t>
  </si>
  <si>
    <t>Ноші медичні</t>
  </si>
  <si>
    <t>Крісло-каталка</t>
  </si>
  <si>
    <t>Загальна оглядова цифрова камера (автофокус, цифровий зум, поляризаційний фільтр, автобаланс білого)</t>
  </si>
  <si>
    <t>Інтерактивний цифровий стетоскоп</t>
  </si>
  <si>
    <t>Монітор життєво-важливих показників із цифровим інтерфейсом (АТ, термометрія, пульсоксиметрія)</t>
  </si>
  <si>
    <t>12-канальний електрокардіограф з цифровим інтерфейсом</t>
  </si>
  <si>
    <t>ІІ. Додатковий список (застосовується за умови комплектності основного списку та відповідно до наявних потреб)</t>
  </si>
  <si>
    <t>ІІІ. Обладнання для надання медичних послуг із застосуванням телемедицини</t>
  </si>
  <si>
    <t>Капітальний ремонт</t>
  </si>
  <si>
    <t>Капітальні інвестиції, зокрема:</t>
  </si>
  <si>
    <t>Адміністративні витрати, зокрема:</t>
  </si>
  <si>
    <t>Всього</t>
  </si>
  <si>
    <t>Амортизація</t>
  </si>
  <si>
    <r>
      <t>Відсоток розподілу</t>
    </r>
    <r>
      <rPr>
        <u/>
        <sz val="18"/>
        <color indexed="8"/>
        <rFont val="Times New Roman"/>
        <family val="1"/>
        <charset val="204"/>
      </rPr>
      <t xml:space="preserve"> капітальних інвестицій</t>
    </r>
    <r>
      <rPr>
        <sz val="18"/>
        <color indexed="8"/>
        <rFont val="Times New Roman"/>
        <family val="1"/>
        <charset val="204"/>
      </rPr>
      <t xml:space="preserve"> за кварталами року</t>
    </r>
  </si>
  <si>
    <r>
      <t xml:space="preserve">Відсоток розподілу </t>
    </r>
    <r>
      <rPr>
        <u/>
        <sz val="18"/>
        <color indexed="8"/>
        <rFont val="Times New Roman"/>
        <family val="1"/>
        <charset val="204"/>
      </rPr>
      <t>адміністративних витрат</t>
    </r>
    <r>
      <rPr>
        <sz val="18"/>
        <color indexed="8"/>
        <rFont val="Times New Roman"/>
        <family val="1"/>
        <charset val="204"/>
      </rPr>
      <t xml:space="preserve"> за кварталами року</t>
    </r>
  </si>
  <si>
    <r>
      <t xml:space="preserve">Витрати капітальні інвестиції відповідно до Табелю матеріально-технічного оснащення, грн.
</t>
    </r>
    <r>
      <rPr>
        <sz val="16"/>
        <rFont val="Times New Roman"/>
        <family val="1"/>
        <charset val="204"/>
      </rPr>
      <t>(частина відповідних витрат)</t>
    </r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</si>
  <si>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</si>
  <si>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</si>
  <si>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</si>
  <si>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</si>
  <si>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</si>
  <si>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</si>
  <si>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 xml:space="preserve">заробітна плата </t>
  </si>
  <si>
    <t>нарахування на оплату праці</t>
  </si>
  <si>
    <r>
      <t xml:space="preserve">Річні витрати на </t>
    </r>
    <r>
      <rPr>
        <b/>
        <u/>
        <sz val="16"/>
        <rFont val="Times New Roman"/>
        <family val="1"/>
        <charset val="204"/>
      </rPr>
      <t>канцтовари, офісне приладдя та устаткування</t>
    </r>
    <r>
      <rPr>
        <b/>
        <sz val="16"/>
        <rFont val="Times New Roman"/>
        <family val="1"/>
        <charset val="204"/>
      </rPr>
      <t xml:space="preserve"> відповідно до Табелю матеріально-технічного оснащення, </t>
    </r>
    <r>
      <rPr>
        <sz val="16"/>
        <rFont val="Times New Roman"/>
        <family val="1"/>
        <charset val="204"/>
      </rPr>
      <t xml:space="preserve">грн.
</t>
    </r>
    <r>
      <rPr>
        <i/>
        <sz val="16"/>
        <rFont val="Times New Roman"/>
        <family val="1"/>
        <charset val="204"/>
      </rPr>
      <t>(частина адміністративних витрат)</t>
    </r>
  </si>
  <si>
    <r>
      <t xml:space="preserve">Річні витрати на </t>
    </r>
    <r>
      <rPr>
        <b/>
        <u/>
        <sz val="16"/>
        <rFont val="Times New Roman"/>
        <family val="1"/>
        <charset val="204"/>
      </rPr>
      <t xml:space="preserve">капітальні інвестиції </t>
    </r>
    <r>
      <rPr>
        <b/>
        <sz val="16"/>
        <rFont val="Times New Roman"/>
        <family val="1"/>
        <charset val="204"/>
      </rPr>
      <t xml:space="preserve">відповідно до Табелю матеріально-технічного оснащення, </t>
    </r>
    <r>
      <rPr>
        <sz val="16"/>
        <rFont val="Times New Roman"/>
        <family val="1"/>
        <charset val="204"/>
      </rPr>
      <t>грн.</t>
    </r>
    <r>
      <rPr>
        <i/>
        <sz val="16"/>
        <rFont val="Times New Roman"/>
        <family val="1"/>
        <charset val="204"/>
      </rPr>
      <t xml:space="preserve">
(частина відповідних витрат)</t>
    </r>
  </si>
  <si>
    <r>
      <t>Розподіл закупівель на 3 групи в залежності від вартості і терміну експлуатації:</t>
    </r>
    <r>
      <rPr>
        <b/>
        <i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1 група - предмети, матеріали (до 1 року);
2 група - основні засоби (більше 1 року та більше або дорівнює сумі у комірці С103 (грн.));
3 група - малоцінні необоротні матеріальні активи (більше 1 року та манше суми у комірці С103 (грн.)).</t>
    </r>
  </si>
  <si>
    <t>Контейнери: для інструментарію, витратних матеріалів тощо</t>
  </si>
  <si>
    <t>Швидкі тести: вагітність, тропоніни, ВІЛ, вірусні гепатити тощо</t>
  </si>
  <si>
    <t>Офісні меблі: столи для персоналу, стільці та (або) крісла для кабінетів і зал очікувань, шафи для документів і одягу, сейфи тощо</t>
  </si>
  <si>
    <t>Комп’ютерне обладнання: комп’ютер або ноутбук з операційною системою та доступом до мережі Інтернет, багатофункціональний пристрій (або принтер + сканер)</t>
  </si>
  <si>
    <t>комп’ютер або ноутбук з операційною системою</t>
  </si>
  <si>
    <t>Набір цифрових "скопічних" систем із генератором світла (дерматоскоп, офтальмоскоп, отоскоп, назо-фарингоскоп, сінускоп, кольпоскоп)</t>
  </si>
  <si>
    <t>Спірометр цифровий</t>
  </si>
  <si>
    <t xml:space="preserve">січень </t>
  </si>
  <si>
    <t>лютий</t>
  </si>
  <si>
    <t>березень</t>
  </si>
  <si>
    <t>квітень</t>
  </si>
  <si>
    <t>травень</t>
  </si>
  <si>
    <t>червень</t>
  </si>
  <si>
    <t xml:space="preserve">липень </t>
  </si>
  <si>
    <t>серпень</t>
  </si>
  <si>
    <t>вересень</t>
  </si>
  <si>
    <t>жовтень</t>
  </si>
  <si>
    <t>листопад</t>
  </si>
  <si>
    <t>грудень</t>
  </si>
  <si>
    <t xml:space="preserve">ДОХОДИ </t>
  </si>
  <si>
    <t>Дохід з місцевого бюджету за програмами, грн., у т.ч.:</t>
  </si>
  <si>
    <t>Дохід з місцевого бюджету за програмами, у т.ч.:</t>
  </si>
  <si>
    <t>Засоби індивідуального захисту (ізоляційний халат, одноразові рукавички, бахіли, респіратор класу захисту FFP2/ FFP3, шапочка медична, маска хірургічна (медична), захисний щиток)</t>
  </si>
  <si>
    <t>Розхідні матеріали одноразового використання: шпателі, оглядові рукавички, рушники паперові, серветки (в тому числі вологі), одноразові простирадла для кушетки, шприці, системи для вливання інфузійних розчинів одноразові, катетери, вакуумні пробірки (вакутайнери), стерильний перев’язувальний матеріал тощо</t>
  </si>
  <si>
    <t>системи для вливання інфузійних розчинів одноразові</t>
  </si>
  <si>
    <t>Мінімальний набір лікарських засобів для надання невідкладної медичної допомоги, в т.ч.:</t>
  </si>
  <si>
    <t>Одноразові інструменти для огляду [4]</t>
  </si>
  <si>
    <t>Одноразові малі хірургічні набори [4], в т.ч.:</t>
  </si>
  <si>
    <t>Адреналіну гідрохлорид (епінефрин) (ампули 0,18% - 1,0)</t>
  </si>
  <si>
    <t>Аміодарон (ампули 5 % -3,0)</t>
  </si>
  <si>
    <t>Атропіну сульфат (ампули 0,1 % - 1,0)</t>
  </si>
  <si>
    <t>Ацетилсаліцилова кислота (таблетки 0,5)</t>
  </si>
  <si>
    <t>Гепарин (флакони 5000 МО/мл- 5,0)</t>
  </si>
  <si>
    <t>Глюкоза (ампули 40 %- 20,0)</t>
  </si>
  <si>
    <t>Глюкоза (флакони 5 % - 200,0)</t>
  </si>
  <si>
    <t>Дротаверин (ампули 2 % -2,0)</t>
  </si>
  <si>
    <t>Дексаметазон (ампули 0,4 % - 1,0)</t>
  </si>
  <si>
    <t>Лідокаїн (ампули 2 % -2,0)</t>
  </si>
  <si>
    <t>Метоклопрамід (ампули 0,5 % - 2,0)</t>
  </si>
  <si>
    <t>Натрію хлорид  (флакони 0,9 % - 200,0)</t>
  </si>
  <si>
    <t>Нітрогліцерин (Таблетки сублінгвальні 0,0005)</t>
  </si>
  <si>
    <t>Парацетамол (таблетки 0,5)</t>
  </si>
  <si>
    <t>Пропроналол (анаприлін) (40 мг)</t>
  </si>
  <si>
    <t>Сальбутамол (аерозоль, 100 мкг доза, 200 доз у балоні)</t>
  </si>
  <si>
    <t>Фуросемід (ампули 1 % -2,0)</t>
  </si>
  <si>
    <t>Хлоргексидину біглюконат (флакон 0,05 % - 100,0)</t>
  </si>
  <si>
    <t>Каптоприл (таблетки 0,025)</t>
  </si>
  <si>
    <t>Атравматичні голки з шовною ниткою</t>
  </si>
  <si>
    <t>Голкотримач</t>
  </si>
  <si>
    <t>Затискач кровоспинний</t>
  </si>
  <si>
    <t>Зонд двосторонній ґудзиковий</t>
  </si>
  <si>
    <t>Корнцанг</t>
  </si>
  <si>
    <t>Ножиці хірургічні вертикально-зігнуті</t>
  </si>
  <si>
    <t>Ножиці хірургічні прямі</t>
  </si>
  <si>
    <t>Пінцет анатомічний</t>
  </si>
  <si>
    <t>Пінцет хірургічний</t>
  </si>
  <si>
    <t>Скальпелі одноразові або леза для скальпелю одноразові з відповідною ручкою</t>
  </si>
  <si>
    <t>Стерилізатор</t>
  </si>
  <si>
    <t xml:space="preserve"> </t>
  </si>
  <si>
    <t>Показник</t>
  </si>
  <si>
    <t>Лікарі</t>
  </si>
  <si>
    <t>(посада керівника органу управління підприємством)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</si>
  <si>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</si>
  <si>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</si>
  <si>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</si>
  <si>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</si>
  <si>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</si>
  <si>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</si>
  <si>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Рік</t>
  </si>
  <si>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</si>
  <si>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</si>
  <si>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</si>
  <si>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</si>
  <si>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</si>
  <si>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</si>
  <si>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 xml:space="preserve">Галузь     </t>
  </si>
  <si>
    <t>за ЗКГНГ</t>
  </si>
  <si>
    <t xml:space="preserve">Вид економічної діяльності    </t>
  </si>
  <si>
    <t xml:space="preserve">за КВЕД  </t>
  </si>
  <si>
    <t xml:space="preserve">Одиниця виміру </t>
  </si>
  <si>
    <t>Форма власності</t>
  </si>
  <si>
    <t>Середньооблікова кількість штатних працівників</t>
  </si>
  <si>
    <t>Стандарти звітності П(с)БОУ</t>
  </si>
  <si>
    <t xml:space="preserve">Місцезнаходження  </t>
  </si>
  <si>
    <t>Стандарти звітності МСФЗ</t>
  </si>
  <si>
    <t xml:space="preserve">Телефон </t>
  </si>
  <si>
    <t>Найменування показника</t>
  </si>
  <si>
    <t xml:space="preserve">Код рядка </t>
  </si>
  <si>
    <t>Прогноз на поточний рік</t>
  </si>
  <si>
    <t>Плановий рік  (усього)</t>
  </si>
  <si>
    <t xml:space="preserve">І  </t>
  </si>
  <si>
    <t xml:space="preserve">ІІ  </t>
  </si>
  <si>
    <t xml:space="preserve">ІІІ  </t>
  </si>
  <si>
    <t xml:space="preserve">ІV </t>
  </si>
  <si>
    <t xml:space="preserve">Доходи </t>
  </si>
  <si>
    <t>Дохід (виручка) від реалізації продукції (товарів, робіт, послуг)</t>
  </si>
  <si>
    <t>дохід від операційної оренди активів</t>
  </si>
  <si>
    <t>Видатки</t>
  </si>
  <si>
    <t>Заробітна плата</t>
  </si>
  <si>
    <t>Нарахування на оплату праці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</si>
  <si>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</si>
  <si>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</si>
  <si>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</si>
  <si>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</si>
  <si>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</si>
  <si>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</si>
  <si>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</si>
  <si>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Інші видатки, у т.ч.</t>
  </si>
  <si>
    <t>Резервний фонд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</si>
  <si>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</si>
  <si>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</si>
  <si>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</si>
  <si>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</si>
  <si>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</si>
  <si>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</si>
  <si>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</si>
  <si>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</si>
  <si>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</si>
  <si>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</si>
  <si>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</si>
  <si>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</si>
  <si>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</si>
  <si>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</si>
  <si>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</si>
  <si>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</si>
  <si>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</si>
  <si>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</si>
  <si>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 xml:space="preserve">Інші надходження </t>
  </si>
  <si>
    <t>Витрати від фінансової діяльності за зобов’язаннями, у т. ч.:</t>
  </si>
  <si>
    <t>Інші витрати</t>
  </si>
  <si>
    <t>V.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</si>
  <si>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</si>
  <si>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</si>
  <si>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</si>
  <si>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VІ. Звіт про фінансовий стан</t>
  </si>
  <si>
    <t>Усього активи</t>
  </si>
  <si>
    <t>Дебіторська заборгованість</t>
  </si>
  <si>
    <t>Кредиторська заборгованість</t>
  </si>
  <si>
    <t>VII.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</si>
  <si>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</si>
  <si>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</si>
  <si>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</si>
  <si>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</si>
  <si>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Фонд оплати праці, у т.ч.:</t>
  </si>
  <si>
    <t>Середньомісячні витрати на оплату праці одного працівника, у т.ч.:</t>
  </si>
  <si>
    <t>Заборгованість за заробітною платою, у т.ч.:</t>
  </si>
  <si>
    <t>І квартал</t>
  </si>
  <si>
    <t>ІІ квартал</t>
  </si>
  <si>
    <t>ІІІ квартал</t>
  </si>
  <si>
    <t>IV квартал</t>
  </si>
  <si>
    <t>рік</t>
  </si>
  <si>
    <t>х</t>
  </si>
  <si>
    <t>I квартал</t>
  </si>
  <si>
    <t>Благодійна допомога, грн.</t>
  </si>
  <si>
    <t xml:space="preserve">І квартал </t>
  </si>
  <si>
    <t xml:space="preserve">ІІ квартал </t>
  </si>
  <si>
    <t xml:space="preserve">ІІІ квартал </t>
  </si>
  <si>
    <t xml:space="preserve">IV квартал </t>
  </si>
  <si>
    <t xml:space="preserve">Всього </t>
  </si>
  <si>
    <t>Фінансовий план поточного року (затверджений зі змінами)</t>
  </si>
  <si>
    <t>У тому числі за кварталами планового року</t>
  </si>
  <si>
    <t>I. Формування фінансових результатів</t>
  </si>
  <si>
    <t>Оплата комунальних послуг та енергоносіїв, у т.ч.:</t>
  </si>
  <si>
    <t xml:space="preserve">Назва підприємства  </t>
  </si>
  <si>
    <t>Прізвище та ініціали керівника</t>
  </si>
  <si>
    <t>III. Інвестиційна діяльність</t>
  </si>
  <si>
    <t>Капітальні інвестиції, у т.ч.:</t>
  </si>
  <si>
    <t>IV. Фінансова діяльність</t>
  </si>
  <si>
    <t>Найменування обладнання</t>
  </si>
  <si>
    <t>Потреба в закупівлі, шт
Всього по всім структурним підрозділам</t>
  </si>
  <si>
    <t>Оціночна вартість за 1 штуку, грн</t>
  </si>
  <si>
    <t>Оціночна сума, грн</t>
  </si>
  <si>
    <t>І. Основний список</t>
  </si>
  <si>
    <t>Інші матеріали, не зазначені в Примірному табелі</t>
  </si>
  <si>
    <t>Керівники</t>
  </si>
  <si>
    <t>Надходження відсотків від залишків коштів на поточних та депозитних рахунках, грн.</t>
  </si>
  <si>
    <t>Надходження від реалізації оборотних і необоротних активів, грн.</t>
  </si>
  <si>
    <t>Інші доходи:</t>
  </si>
  <si>
    <t>дохід від реалізації оборотних і необоротних активів</t>
  </si>
  <si>
    <t>відсотки отримані (поточні рахунки і депозити)</t>
  </si>
  <si>
    <t>Інші операційні доходи, грн.</t>
  </si>
  <si>
    <t>Вартість основних засобів</t>
  </si>
  <si>
    <t>Основні засоби</t>
  </si>
  <si>
    <t>Малоцінні необоротні матеріальні активи</t>
  </si>
  <si>
    <t>Предмети, матеріали</t>
  </si>
  <si>
    <t>IV  квартал</t>
  </si>
  <si>
    <t>Надходження від здачі приміщень/земельних ділянок та ін. в оренду, грн.</t>
  </si>
  <si>
    <t>Допоміжний персонал</t>
  </si>
  <si>
    <t>Інші операційні доходи, у т.ч.:</t>
  </si>
  <si>
    <t>Коефіцієнт відношення капітальних інвестицій до доходу від реалізації продукції (товарів, робіт, послуг)</t>
  </si>
  <si>
    <t>видатки на охорону праці</t>
  </si>
  <si>
    <t xml:space="preserve">Необоротні активи </t>
  </si>
  <si>
    <t>Оборотні активи</t>
  </si>
  <si>
    <t>Термін експлуатації (більше або менше 1 року)</t>
  </si>
  <si>
    <t>Ваги для дітей</t>
  </si>
  <si>
    <t>Ваги для дорослих</t>
  </si>
  <si>
    <t>Ростомір</t>
  </si>
  <si>
    <t>Медична вимірювальна стрічка (рулетка)</t>
  </si>
  <si>
    <t>Стетофонендоскоп</t>
  </si>
  <si>
    <t>Термометр (для вимірювання температури тіла), в тому числі цифровий або інфрачервоний</t>
  </si>
  <si>
    <t>Тонометр з малими, середніми і великими манжетами</t>
  </si>
  <si>
    <t>Пульсоксиметр портативний</t>
  </si>
  <si>
    <t>Отоофтальмоскоп</t>
  </si>
  <si>
    <t>Медичний ліхтарик</t>
  </si>
  <si>
    <t>Електрокардіограф [2]</t>
  </si>
  <si>
    <t>Пікфлуометр [2]</t>
  </si>
  <si>
    <t>Молоточок неврологічний</t>
  </si>
  <si>
    <t>Таблиці для перевірки гостроти зору</t>
  </si>
  <si>
    <t>Апарат визначення рівня глюкози крові у комплекті (глюкометр, смужки, одноразові ланцети, одноразові рукавички) [2]</t>
  </si>
  <si>
    <t>Центрифуга [3]</t>
  </si>
  <si>
    <t>шпателі</t>
  </si>
  <si>
    <t>оглядові рукавички</t>
  </si>
  <si>
    <t>рушники паперові</t>
  </si>
  <si>
    <t>серветки (в тому числі вологі)</t>
  </si>
  <si>
    <t>одноразові простирадла для кушетки</t>
  </si>
  <si>
    <t>шприці</t>
  </si>
  <si>
    <t>катетери</t>
  </si>
  <si>
    <t>вакуумні пробірки (вакутайнери)</t>
  </si>
  <si>
    <t>стерильний перев’язувальний матеріал</t>
  </si>
  <si>
    <t>Сумка лікаря/медсестри</t>
  </si>
  <si>
    <t>Сумка-холодильник з набором акумуляторів холоду</t>
  </si>
  <si>
    <t>Холодильник для зберігання лікарських засобів</t>
  </si>
  <si>
    <t>Кушетка, в тому числі кушетка-трансформер (гінекологічне крісло)</t>
  </si>
  <si>
    <t>Шафа для зберігання лікарських засобів та медичних виробів</t>
  </si>
  <si>
    <t>Сповивальний столик (для зали очікування)</t>
  </si>
  <si>
    <t>столи для персоналу</t>
  </si>
  <si>
    <t>стільці та (або) крісла для кабінетів</t>
  </si>
  <si>
    <t>стільці та (або) крісла зал очікувань</t>
  </si>
  <si>
    <t>шафи для документів</t>
  </si>
  <si>
    <t>шафи для одягу</t>
  </si>
  <si>
    <t>сейфи</t>
  </si>
  <si>
    <t>багатофункціональний пристрій (або принтер + сканер)</t>
  </si>
  <si>
    <t>Спеціальне (прикладне) програмне забезпечення для ПМД</t>
  </si>
  <si>
    <t>Канцелярське приладдя, витратні матеріали для комп’ютерного обладнання (папір, картриджі тощо)</t>
  </si>
  <si>
    <t>Автомобіль легковий повнопривідний (підсилювач керма та гальм) або легковий (підсилювач керма та гальм) [5]</t>
  </si>
  <si>
    <t>в місяць</t>
  </si>
  <si>
    <t>Діяльність лікарняних закладів</t>
  </si>
  <si>
    <t>Комунальна</t>
  </si>
  <si>
    <t>45100, Волинська обл., м.Рожище , вул.Коте Шилокадзе , 19</t>
  </si>
  <si>
    <t>Редзій В.С.</t>
  </si>
  <si>
    <t>86.10</t>
  </si>
  <si>
    <r>
      <t>2. Інші надходження/доход</t>
    </r>
    <r>
      <rPr>
        <b/>
        <sz val="22"/>
        <rFont val="Times New Roman"/>
        <family val="1"/>
        <charset val="204"/>
      </rPr>
      <t>и надавача МД</t>
    </r>
  </si>
  <si>
    <t xml:space="preserve">витрати на канцтовари, офісне приладдя та устаткування </t>
  </si>
  <si>
    <t>Комунальне підприємство "Рожищенська багатопрофільна лікарня" Рожищенської міської ради</t>
  </si>
  <si>
    <t>Назва структурного підрозділу, посада, кваліфікаційна категорія ( розряд )</t>
  </si>
  <si>
    <t>Прізвище, ім"я, по-батькові</t>
  </si>
  <si>
    <t>Тарифний розряд</t>
  </si>
  <si>
    <t>Посадовий оклад</t>
  </si>
  <si>
    <t>Обсяг роботи за даною посадою (1,0; 0,75; 0,5; 0,25;)</t>
  </si>
  <si>
    <t>Доплати, що мають обов"язковий характер</t>
  </si>
  <si>
    <t>Надбавки, що мають обов"язковий характер</t>
  </si>
  <si>
    <t>Доплата до мінімальної заробітної плати</t>
  </si>
  <si>
    <t>Місячний фонд зарплати (у грн.)</t>
  </si>
  <si>
    <t>Мінімальна заробітна плата</t>
  </si>
  <si>
    <t>ОКЛАД</t>
  </si>
  <si>
    <t>Вислуга років</t>
  </si>
  <si>
    <t>Шкідливі умови праці</t>
  </si>
  <si>
    <t>Оздоровчі</t>
  </si>
  <si>
    <t>Посадовий оклад , визначений за тарифним розрядом</t>
  </si>
  <si>
    <t>Підвищення посадового окладу</t>
  </si>
  <si>
    <t>Посадовий оклад з підвищенням , сума (гр.5-11)</t>
  </si>
  <si>
    <t>За основною посадою</t>
  </si>
  <si>
    <t>За сумісництвом</t>
  </si>
  <si>
    <t>За науковий ступінь , шкідливі умови робітникам ( додаток 6 ) , шеф - кухарю , за використання дезинфікувальних засобів</t>
  </si>
  <si>
    <t>розмір доплати</t>
  </si>
  <si>
    <t>За почесне звання , тривалість безперервної роботи, класність, майстерність за спецконтинент,за вислугу років</t>
  </si>
  <si>
    <t>розмір надбавки</t>
  </si>
  <si>
    <t>За кваліфікаційну категорію Керівникам та їх заступникам , за-ування , старшинство,санітарний транспорт</t>
  </si>
  <si>
    <t>за оперативні втручання</t>
  </si>
  <si>
    <t>за диплом з відзнакою</t>
  </si>
  <si>
    <t>інші підвищення передбачені пунктом 2.2.</t>
  </si>
  <si>
    <t>у зв'язку зі шкідливими і важкими умовами оплати праці</t>
  </si>
  <si>
    <t xml:space="preserve">інші підвищення до посадового окладу </t>
  </si>
  <si>
    <t>у відсотках</t>
  </si>
  <si>
    <t>абсолютний розмір</t>
  </si>
  <si>
    <t>абсолютна сума</t>
  </si>
  <si>
    <t>Посадовий</t>
  </si>
  <si>
    <t>З підвищенням</t>
  </si>
  <si>
    <t>Підвищення</t>
  </si>
  <si>
    <t>По посадовому окладу з підвищенням</t>
  </si>
  <si>
    <t>ВИПЛАЧЕНО</t>
  </si>
  <si>
    <t>ПОТРЕБА</t>
  </si>
  <si>
    <t>2</t>
  </si>
  <si>
    <t>3</t>
  </si>
  <si>
    <t>4</t>
  </si>
  <si>
    <t>6</t>
  </si>
  <si>
    <t>7</t>
  </si>
  <si>
    <t>8</t>
  </si>
  <si>
    <t>9</t>
  </si>
  <si>
    <t>АПАРАТ УПРАВЛІННЯ</t>
  </si>
  <si>
    <t>вища категорія УОЗ № 112-ос/к - 25.06.2019</t>
  </si>
  <si>
    <t>-</t>
  </si>
  <si>
    <t>вища категорія хірургія № 295 - 31.10.2018</t>
  </si>
  <si>
    <t>Галь О.І.</t>
  </si>
  <si>
    <t>Моргун О.Є.</t>
  </si>
  <si>
    <t>ВСЬОГО</t>
  </si>
  <si>
    <t>ПОЛІКЛІНІКА</t>
  </si>
  <si>
    <t>Вінська Т.Й.</t>
  </si>
  <si>
    <t>Лікар - акушер - гінеколог</t>
  </si>
  <si>
    <t>Семенюк В.С.</t>
  </si>
  <si>
    <t>вакансія</t>
  </si>
  <si>
    <t>Лікар-дерматовенеролог</t>
  </si>
  <si>
    <t>Кузава Т.А.</t>
  </si>
  <si>
    <t>Лікар-ендокринолог</t>
  </si>
  <si>
    <t>Алі Шах А.В.</t>
  </si>
  <si>
    <t>Лікар-ендоскопіст</t>
  </si>
  <si>
    <t>Гнатюк В. І.</t>
  </si>
  <si>
    <t>б/к</t>
  </si>
  <si>
    <t>Мазун Т.М.</t>
  </si>
  <si>
    <t xml:space="preserve">Рішення Рожищенської міської ради </t>
  </si>
  <si>
    <t>М. П. (власне ім'я, прізвище)</t>
  </si>
  <si>
    <t xml:space="preserve">         (власне ім'я , прізвище)    </t>
  </si>
  <si>
    <t xml:space="preserve">ЗАТВЕРДЖЕНО </t>
  </si>
  <si>
    <t>Конкретна назва предмета закупівлі</t>
  </si>
  <si>
    <t>ДК 021-2015</t>
  </si>
  <si>
    <t>1</t>
  </si>
  <si>
    <t>%</t>
  </si>
  <si>
    <t>лікар-спеціаліст стоматологія № 421/01-05 - 21.10.2021</t>
  </si>
  <si>
    <t>Іщук А.С.</t>
  </si>
  <si>
    <t>Блащук Ю.В.</t>
  </si>
  <si>
    <t>ВІДДІЛ З ІНФЕКЦІЙНОГО КОНТРОЛЮ</t>
  </si>
  <si>
    <t>ІНФЕКЦІЙНЕ ВІДДІЛЕННЯ</t>
  </si>
  <si>
    <t>Лікар - інфекціоніст</t>
  </si>
  <si>
    <t xml:space="preserve">НЕВРОЛОГІЧНЕ ВІДДІЛЕННЯ </t>
  </si>
  <si>
    <t xml:space="preserve">ТЕРАПЕВТИЧНЕ ВІДДІЛЕННЯ </t>
  </si>
  <si>
    <t xml:space="preserve">ПЕДІАТРИЧНЕ ВІДДІЛЕННЯ  </t>
  </si>
  <si>
    <t>вища категорія педіатрія № 27-ос/к - 18.02.2021</t>
  </si>
  <si>
    <t>Ткачук О.П.</t>
  </si>
  <si>
    <t>І категорія хірургія № 24-ос/к - 21.02.2022</t>
  </si>
  <si>
    <t>Басалик Ю.І.</t>
  </si>
  <si>
    <t>Лікар-ортопед-травматолог</t>
  </si>
  <si>
    <t xml:space="preserve">лікар-спеціаліст ортопедія травматологія № 2018 -з - 23.06.2021 </t>
  </si>
  <si>
    <t>Гіляровський В.Є.</t>
  </si>
  <si>
    <t>Мазурик О.А.</t>
  </si>
  <si>
    <t xml:space="preserve">ВІДДІЛЕННЯ АНЕСТЕЗІОЛОГІЇ ТА ІНТЕНСИВНОЇ ТЕРАПІЇ </t>
  </si>
  <si>
    <t>лікар-спеціаліст анестезіологія та інтенсивна терапія №1976-з - 24.06.2022</t>
  </si>
  <si>
    <t>ІІ категорія анестезіологія № 85-ос/к - 20.05.2021</t>
  </si>
  <si>
    <t>Хомич В.В.</t>
  </si>
  <si>
    <t>вища категорія клінічна лабораторна діагностика № 296-ос/к - 10.11.2021</t>
  </si>
  <si>
    <t xml:space="preserve">Сестра медична (брат медичний ) поліклініки </t>
  </si>
  <si>
    <t>Губій О.Л.</t>
  </si>
  <si>
    <t>вища категорія сестринська справа № 318-ос/к - 22.12.2021</t>
  </si>
  <si>
    <t>вища категорія сестринська справа № 267-ос/к - 07.10.2021</t>
  </si>
  <si>
    <t>Богдан Л.В.</t>
  </si>
  <si>
    <t>Помічник лікаря-епідеміолога</t>
  </si>
  <si>
    <t>Іванюк М.В.</t>
  </si>
  <si>
    <t>Трофімчук І.М.</t>
  </si>
  <si>
    <t xml:space="preserve">Сестра медична ( брат медичний ) стаціонару </t>
  </si>
  <si>
    <t>вища категорія сестринська справа № 276-ос/к - 07.10.2021</t>
  </si>
  <si>
    <t>вища категорія сестринська справа № 201-ос/к - 08.06.2022</t>
  </si>
  <si>
    <t>Соловонюк Т.М.</t>
  </si>
  <si>
    <t>Приймачок О.М.</t>
  </si>
  <si>
    <t>вища категорія сестринська справа № 310-ос/к - 09.12.2021</t>
  </si>
  <si>
    <t>вища категорія сестринська справа (операційна) № 297-ос/к - 11.11.2021</t>
  </si>
  <si>
    <t>І категорія сестринська справа № 34-ос/к - 10.03.2022</t>
  </si>
  <si>
    <t>вища категорія сестринська справа (операційна) № 34-ос/к - 10.03.2022</t>
  </si>
  <si>
    <t>вища категорія сестринська справа № 254-ос/к - 09.09.2021</t>
  </si>
  <si>
    <t>Полячук В.В.</t>
  </si>
  <si>
    <t>Вакулюк С.М.</t>
  </si>
  <si>
    <t>Криштапюк Л.Б.</t>
  </si>
  <si>
    <t>Шрай О.Є.</t>
  </si>
  <si>
    <t>Молодша медична сестра ( молодший медичний брат ) з догляду за хворими</t>
  </si>
  <si>
    <t>Войтюк Н.В.</t>
  </si>
  <si>
    <t>Кузнецова Т.В.</t>
  </si>
  <si>
    <t>Зелінська Н.М.</t>
  </si>
  <si>
    <t>Гайда С.В.</t>
  </si>
  <si>
    <t>Лавренчук С.Р.</t>
  </si>
  <si>
    <t>Робітник з благоустрою</t>
  </si>
  <si>
    <t>Людмила ШКРОБОТ</t>
  </si>
  <si>
    <t>Руслана ІВАНЮК</t>
  </si>
  <si>
    <t>Наталія ЗЕЛІНСЬКА</t>
  </si>
  <si>
    <t>Наталія РОСОЛОВСЬКА</t>
  </si>
  <si>
    <t>Євгенія РОСОЛОВСЬКА</t>
  </si>
  <si>
    <t>Ігор КУЧИНСЬКИЙ</t>
  </si>
  <si>
    <t>Олена ПОРУЧНИК</t>
  </si>
  <si>
    <t>вища категорія урологія № 31-к - 18.02.2020</t>
  </si>
  <si>
    <t xml:space="preserve">План закупок відповідно до табелю матеріально-технічного оснащення </t>
  </si>
  <si>
    <t>№ п/п</t>
  </si>
  <si>
    <t>середній</t>
  </si>
  <si>
    <t>СТАЦІОНАР</t>
  </si>
  <si>
    <t>СТРУКТУРНІ ПІДРОЗДІЛИ СТАЦІОНАРУ</t>
  </si>
  <si>
    <t>ЄСВ</t>
  </si>
  <si>
    <t>ФОП</t>
  </si>
  <si>
    <t>Машиніст котлів</t>
  </si>
  <si>
    <t>Головна медична сестра</t>
  </si>
  <si>
    <t>Лікар-інфекціоніст</t>
  </si>
  <si>
    <t>Хірургічні операції дорослим та дітям у стаціонарних умовах</t>
  </si>
  <si>
    <t>Стаціонарна допомога дорослим та дітям без проведення хірургічних операцій</t>
  </si>
  <si>
    <t>Медична допомога при пологах</t>
  </si>
  <si>
    <t>Профілактика, діагностика, спостереження, лікування та реабілітація пацієнтів в амбулаторних умовах</t>
  </si>
  <si>
    <t>Гістероскопія</t>
  </si>
  <si>
    <t>Стаціонарна паліативна медична допомога дорослим та дітям</t>
  </si>
  <si>
    <t>Мобільна паліативна медична допомога дорослим і дітям</t>
  </si>
  <si>
    <t>Стоматологічна допомога дорослим та дітям</t>
  </si>
  <si>
    <t>Ведення вагітності в амбулаторних умовах</t>
  </si>
  <si>
    <t>Хірургічні операції дорослим та дітям в умовах стаціонару одного дня</t>
  </si>
  <si>
    <r>
      <t xml:space="preserve">Надходження надавача від медичного обслуговування населення за програмою медичних гарантій, </t>
    </r>
    <r>
      <rPr>
        <b/>
        <i/>
        <sz val="22"/>
        <rFont val="Times New Roman"/>
        <family val="1"/>
        <charset val="204"/>
      </rPr>
      <t>грн.</t>
    </r>
  </si>
  <si>
    <r>
      <t xml:space="preserve">Інші надходження від медичного обслуговування населення , </t>
    </r>
    <r>
      <rPr>
        <i/>
        <sz val="22"/>
        <rFont val="Times New Roman"/>
        <family val="1"/>
        <charset val="204"/>
      </rPr>
      <t>грн.</t>
    </r>
  </si>
  <si>
    <r>
      <t xml:space="preserve">Інші надходження/доходи надавача МД, </t>
    </r>
    <r>
      <rPr>
        <b/>
        <i/>
        <sz val="22"/>
        <rFont val="Times New Roman"/>
        <family val="1"/>
        <charset val="204"/>
      </rPr>
      <t>грн.</t>
    </r>
  </si>
  <si>
    <r>
      <t xml:space="preserve">ВСЬОГО ДОХОДІВ надавача , </t>
    </r>
    <r>
      <rPr>
        <b/>
        <i/>
        <sz val="22"/>
        <rFont val="Times New Roman"/>
        <family val="1"/>
        <charset val="204"/>
      </rPr>
      <t>грн.</t>
    </r>
  </si>
  <si>
    <t>Бондарук - Жирибець С.В.</t>
  </si>
  <si>
    <t>Склад</t>
  </si>
  <si>
    <t>Гараж</t>
  </si>
  <si>
    <t>Харчоблок</t>
  </si>
  <si>
    <t>Інженерно-технічна служба</t>
  </si>
  <si>
    <t>Господарська служба</t>
  </si>
  <si>
    <t>Котельня</t>
  </si>
  <si>
    <t>Молодший персонал</t>
  </si>
  <si>
    <t>Реалізація окремих заходів державних (регіональних) програм, не віднесені до заходів розвитку</t>
  </si>
  <si>
    <t xml:space="preserve">Інші доходи (не зазначені вище), грн. </t>
  </si>
  <si>
    <t>АДМІНІСТРАЦІЯ</t>
  </si>
  <si>
    <t>БУХГАЛТЕРСЬКИЙ ВІДДІЛ</t>
  </si>
  <si>
    <t>ВІДДІЛ ПРАЦІ ТА СОЦІАЛЬНО-ПРАВОВОГО ЗАБЕЗПЕЧЕННЯ</t>
  </si>
  <si>
    <t>ГОСПОДАРСЬКИЙ ВІДДІЛ</t>
  </si>
  <si>
    <t>ХІРУРГІЧНЕ ВІДДІЛЕННЯ З ОПЕРАЦІЙНИМ БЛОКОМ</t>
  </si>
  <si>
    <t>РЕНТГЕН КАБІНЕТ</t>
  </si>
  <si>
    <t xml:space="preserve">№ </t>
  </si>
  <si>
    <t>лікарі</t>
  </si>
  <si>
    <t>інші</t>
  </si>
  <si>
    <t>Одиниця виміру</t>
  </si>
  <si>
    <t>Сума</t>
  </si>
  <si>
    <t>15000000-8 - Продукти харчування, напої, тютюн та супутня продукція</t>
  </si>
  <si>
    <t>03000000-1 - Сільськогосподарська, фермерська продукція, продукція рибальства, лісівництва та супутня продукція</t>
  </si>
  <si>
    <t>Вид продукції</t>
  </si>
  <si>
    <t xml:space="preserve">Кількість </t>
  </si>
  <si>
    <t>Ціна за од., грн.</t>
  </si>
  <si>
    <t>Вартість, грн.</t>
  </si>
  <si>
    <t>Молоко</t>
  </si>
  <si>
    <t>15510000-6</t>
  </si>
  <si>
    <t>Молоко та вершки</t>
  </si>
  <si>
    <t>Цибуля</t>
  </si>
  <si>
    <t>03220000-9</t>
  </si>
  <si>
    <t>Овочі, фрукти та горіхи</t>
  </si>
  <si>
    <t>Горох</t>
  </si>
  <si>
    <t>15330000-0</t>
  </si>
  <si>
    <t>Оброблені фрукти та овочі</t>
  </si>
  <si>
    <t>Крупа ячна</t>
  </si>
  <si>
    <t>15610000-7</t>
  </si>
  <si>
    <t>Продукція борошномельно-круп'яної промисловості</t>
  </si>
  <si>
    <t>Крупа перлова</t>
  </si>
  <si>
    <t>Крупа манна</t>
  </si>
  <si>
    <t>Борошно</t>
  </si>
  <si>
    <t>Вівсянка</t>
  </si>
  <si>
    <t>Крупа арнаутка</t>
  </si>
  <si>
    <t>Крупа гречана</t>
  </si>
  <si>
    <t>Рис</t>
  </si>
  <si>
    <t>Печиво</t>
  </si>
  <si>
    <t>15610000-8</t>
  </si>
  <si>
    <t>Сухарі та печиво; пресерви з хлібобулочних і кондитерських виробів</t>
  </si>
  <si>
    <t>Хліб</t>
  </si>
  <si>
    <t>15810000-9</t>
  </si>
  <si>
    <t>Хлібопродукти, свіжовипечені хлібобулочні та кондитерські вироби</t>
  </si>
  <si>
    <t>Пшоно</t>
  </si>
  <si>
    <t>Лимонна кислота</t>
  </si>
  <si>
    <t>15870000-7</t>
  </si>
  <si>
    <t>Заправки та приправи</t>
  </si>
  <si>
    <t>Яйце</t>
  </si>
  <si>
    <t>03140000-4</t>
  </si>
  <si>
    <t>Продукція тваринництва та супутня продукція</t>
  </si>
  <si>
    <t>Курятина</t>
  </si>
  <si>
    <t>15110000-2</t>
  </si>
  <si>
    <t>М’ясо</t>
  </si>
  <si>
    <t xml:space="preserve">Олiя </t>
  </si>
  <si>
    <t>15420000-8</t>
  </si>
  <si>
    <t>Рафіновані олії та жири</t>
  </si>
  <si>
    <t>Масло</t>
  </si>
  <si>
    <t>15530000-2</t>
  </si>
  <si>
    <t>Вершкове масло</t>
  </si>
  <si>
    <t>Цукор</t>
  </si>
  <si>
    <t>15831000-2</t>
  </si>
  <si>
    <t>Макарони</t>
  </si>
  <si>
    <t>15850000-1</t>
  </si>
  <si>
    <t>Макаронні вироби</t>
  </si>
  <si>
    <t>Чай чорний</t>
  </si>
  <si>
    <t>15860000-4</t>
  </si>
  <si>
    <t>Кава, чай та супутня продукція</t>
  </si>
  <si>
    <t>Лавровий лист</t>
  </si>
  <si>
    <t>Сiль</t>
  </si>
  <si>
    <t>Дрiждi</t>
  </si>
  <si>
    <t>15890000-3</t>
  </si>
  <si>
    <t>Продукти харчування та сушені продукти різні</t>
  </si>
  <si>
    <t>Буряк</t>
  </si>
  <si>
    <t>Капуста</t>
  </si>
  <si>
    <t>Морква</t>
  </si>
  <si>
    <t>Крупа пшенична</t>
  </si>
  <si>
    <t>Сардельки</t>
  </si>
  <si>
    <t>15130000-8</t>
  </si>
  <si>
    <t>М’ясопродукти</t>
  </si>
  <si>
    <t xml:space="preserve">15220000-6 </t>
  </si>
  <si>
    <t>Риба, рибне філе та інше м’ясо риби морожені</t>
  </si>
  <si>
    <t>Картопля</t>
  </si>
  <si>
    <t>Свинина</t>
  </si>
  <si>
    <t xml:space="preserve">Риба </t>
  </si>
  <si>
    <t>Номенклатура</t>
  </si>
  <si>
    <t>Кількість</t>
  </si>
  <si>
    <t>Ціна відп. Без ПДВ</t>
  </si>
  <si>
    <t>С/відп б пдв</t>
  </si>
  <si>
    <t>шт</t>
  </si>
  <si>
    <t>Парацетамол Paracetamol</t>
  </si>
  <si>
    <t>ІНФУЛГАН розчин для інфузій 10 мг/мл, по 100 мл</t>
  </si>
  <si>
    <t>пляшка</t>
  </si>
  <si>
    <t>Натрію хлорид  Sodium chloride</t>
  </si>
  <si>
    <t>Натрію хлорид 9мг/мл по 400мл розчин для інфузій у пляшках скляних</t>
  </si>
  <si>
    <t>НАТРІЮ ХЛОРИД розчин для інфузій, 9 мг/мл, по 200 мл  у пляшках скляних</t>
  </si>
  <si>
    <t>НАТРІЮ ХЛОРИД розчин для інфузій, 9 мг/мл, по 100 мл у пляшках скляних</t>
  </si>
  <si>
    <t>НАТРІЮ ХЛОРИД розчин для ін'єкцій, 9 мг/мл, по 5 мл №10</t>
  </si>
  <si>
    <t>пачка</t>
  </si>
  <si>
    <t>Electrolytes in combination with other drugs</t>
  </si>
  <si>
    <t>РЕОСОРБІЛАКТ® розчин для інфузій, по 200 мл у пляшках скляних</t>
  </si>
  <si>
    <t>Mannitol</t>
  </si>
  <si>
    <t>МАНІТ розчин для інфузій, 150 мг/мл, по 200 мл у пляшках</t>
  </si>
  <si>
    <t>Пентоксифілін Pentoxifylline</t>
  </si>
  <si>
    <t>ЛАТРЕН® розчин для інфузій, 0,5 мг/мл, по 200 мл у пляшках</t>
  </si>
  <si>
    <t>РЕОПОЛІГЛЮКІН розчин для інфузій, по 200 мл у пляшках</t>
  </si>
  <si>
    <t>НЕЙРОЦИТИН® розчин для інфузій, по 100 мл у пляшці; по 1 пляшці в пачці</t>
  </si>
  <si>
    <t>Левофлоксацин Levofloxacin</t>
  </si>
  <si>
    <t xml:space="preserve">ЛЕФЛОЦИН® розчин для інфузій, 5 мг/мл, по 100 мл </t>
  </si>
  <si>
    <t xml:space="preserve">ЛЕФЛОЦИН® розчин для інфузій, 5 мг/мл, по 150 мл </t>
  </si>
  <si>
    <t>Метронідазол Metronidazole</t>
  </si>
  <si>
    <t>МЕТРОНІДАЗОЛ розчин для інфузій, 5 мг/мл, по 100 мл у пляшках скляних</t>
  </si>
  <si>
    <t>Глюкоза Glucose</t>
  </si>
  <si>
    <t>ГЛЮКОЗА розчин для інфузій 50 мг/мл, по 400 мл у пляшках скляних</t>
  </si>
  <si>
    <t>ГЛЮКОЗА розчин для інфузій 50 мг/мл, по 200 мл у пляшках скляних</t>
  </si>
  <si>
    <t>Comb drug</t>
  </si>
  <si>
    <t>ГЕКОТОН® розчин для інфузій, по 400 мл у пляшках скляних</t>
  </si>
  <si>
    <t>Натрію гідрокарбонат    Sodium bicarbonate</t>
  </si>
  <si>
    <t>СОДА-БУФЕР® розчин для інфузій, 42 мг/мл, по 100 мл в пляшках скляних</t>
  </si>
  <si>
    <t>Гідроксіетилкрохмаль Hydroxyethylstarch</t>
  </si>
  <si>
    <t>ГЕКОДЕЗ® розчин для інфузій, 60 мг/мл, по 400 у пляшка скляних</t>
  </si>
  <si>
    <t>ГЕКОДЕЗ® розчин для інфузій, 60 мг/мл, по 200 мл у пляшка скляних</t>
  </si>
  <si>
    <t>Gelatin agents</t>
  </si>
  <si>
    <t>ВОЛЮТЕНЗ® розчин для інфузій, по 500 мл</t>
  </si>
  <si>
    <t>Натрію хлорид, калію хлорид, кальцію хлорид Comb drug</t>
  </si>
  <si>
    <t>РОЗЧИН РІНГЕРА розчин для інфузій, по 400 мл у пляшках</t>
  </si>
  <si>
    <t>Натрію хлорид, калію хлорид, натрію гідрокарбонат</t>
  </si>
  <si>
    <t>ТРИСОЛЬ розчин для інфузій, по 400 мл у пляшках</t>
  </si>
  <si>
    <t>ТРИСОЛЬ розчин для інфузій, по 200 мл у пляшках</t>
  </si>
  <si>
    <t>СОРБІЛАКТ® розчин для інфузій, по 200 мл у пляшках</t>
  </si>
  <si>
    <t>Аргініну гідрохлорид Arginine hydrochloride</t>
  </si>
  <si>
    <t>ТІВОРТІН розчин для інфузій, 42 мг/мл, по 100 мл у пляшці; по 1 пляшці у пачці</t>
  </si>
  <si>
    <t>Метамізолу натрій</t>
  </si>
  <si>
    <t>АНАЛЬГІН розчин для ін'єкцій, 500 мг/мл, по 2 мл №10</t>
  </si>
  <si>
    <t>Транексамова кислота Tranexamic acid</t>
  </si>
  <si>
    <t>САНГЕРА розчин для ін'єкцій, 100 мг/мл, по 5 мл №5</t>
  </si>
  <si>
    <t>САНГЕРА розчин для ін'єкцій, 100 мг/мл, по 10 мл №5</t>
  </si>
  <si>
    <t>Ондансетрону гідрохлориду дигідрат</t>
  </si>
  <si>
    <t>ЮНОРМ® розчин для ін'єкцій, 2,0 мг/мл по 2 мл №5</t>
  </si>
  <si>
    <t>ЮНОРМ® розчин для ін'єкцій, 4,0 мг/мл по 4 мл №5</t>
  </si>
  <si>
    <t>Магнію сульфат Magnesium sulfate</t>
  </si>
  <si>
    <t>МАГНІЮ СУЛЬФАТ розчин для ін'єкцій, 250 мг/мл, по 5 мл №10</t>
  </si>
  <si>
    <t>Сальбутамол salbutamol</t>
  </si>
  <si>
    <t>НЕБУТАМОЛ® розчин для інгаляцій, 1 мг/мл, по 2 мл №40</t>
  </si>
  <si>
    <t>Бупівакаїн</t>
  </si>
  <si>
    <t>ЛОНГОКАЇН® розчин для ін'єкцій, 5,0 мг/мл, по 5 мл №10</t>
  </si>
  <si>
    <t>ЛОНГОКАЇН ХЕВІ розчин для ін'єкцій, 5,0 мг/мл, по 5 мл №5</t>
  </si>
  <si>
    <t>Enoxaparin</t>
  </si>
  <si>
    <t>НОВОПАРИН® розчин для ін'єкцій, 100 мг (10 000 анти-фактор Ха МО)/мл, по 0,4 мл (40 мг) у попередньо наповненому шприці №10</t>
  </si>
  <si>
    <t>флакон</t>
  </si>
  <si>
    <t>Cefoperazone and beta-lactamase inhibitor</t>
  </si>
  <si>
    <t>ЛАКСЕРС порошок для розчину для ін'єкцій по 1000 мг/ 1000 мг, 1 флакон з порошком у пачці</t>
  </si>
  <si>
    <t>Moxifloxacin</t>
  </si>
  <si>
    <t>МАКСІЦИН® концентрат для розчину для інфузій, 400 мг/20 мл, по 20 мл у флаконі; по 1 флакону у пачці з картону</t>
  </si>
  <si>
    <t xml:space="preserve">Омепразол Omeprazole
</t>
  </si>
  <si>
    <t>ОМЕПРАЗОЛ порошок для розчину для ін'єкцій 40 мг по 1 флакону у картонній коробці</t>
  </si>
  <si>
    <t>Прокаїн procaine</t>
  </si>
  <si>
    <t xml:space="preserve">НОВОКАЇН розчин для ін'єкцій, 2,5 мг/мл, по 200 мл </t>
  </si>
  <si>
    <t>ТУРУСОЛ® розчин для іригацій, по 3000 мл у контейнерах полімерних</t>
  </si>
  <si>
    <t>контейнер</t>
  </si>
  <si>
    <t>Кислота амінокапронова    Aminocaproic acid</t>
  </si>
  <si>
    <t>КИСЛОТА АМІНОКАПРОНОВА розчин для інфузій, 50 мг/мл, по 100 мл</t>
  </si>
  <si>
    <t>Dexketoprofen</t>
  </si>
  <si>
    <t>Кейдекс Ін'єкт, розчин для ін’єкцій, 25 мг/мл по 2 мл в ампулі №5</t>
  </si>
  <si>
    <t>ПЕНТОКСИФІЛІН розчин для ін’єкцій, 20 мг/мл, по 5 мл №10</t>
  </si>
  <si>
    <t>ВСЬОГО:</t>
  </si>
  <si>
    <t>33600000-6 Фармацевтична продукція ( Наркотичні засоби та психотропні речовини)</t>
  </si>
  <si>
    <t>Хімічна продукція</t>
  </si>
  <si>
    <t xml:space="preserve">Предмети , матеріали та інвентар </t>
  </si>
  <si>
    <t>Абразивні вироби</t>
  </si>
  <si>
    <t>14810000-2</t>
  </si>
  <si>
    <t>Обприскувальні апарати для використання у сільському господарстві та рослинництві</t>
  </si>
  <si>
    <t>16400000-9</t>
  </si>
  <si>
    <t>Частини для сільськогосподарської техніки</t>
  </si>
  <si>
    <t>16810000-6</t>
  </si>
  <si>
    <t>Частини для лісогосподарської техніки</t>
  </si>
  <si>
    <t>16820000-9</t>
  </si>
  <si>
    <t>Аксесуари до робочого одягу</t>
  </si>
  <si>
    <t>18140000-2</t>
  </si>
  <si>
    <t>Взуття різне,крім спортивного та захисного</t>
  </si>
  <si>
    <t>18810000-0</t>
  </si>
  <si>
    <t>Гумові вироби</t>
  </si>
  <si>
    <t>19510000-4</t>
  </si>
  <si>
    <t>Пластмасові вироби</t>
  </si>
  <si>
    <t>19520000-7</t>
  </si>
  <si>
    <t>Поліетиленові мішки та пакети для сміття</t>
  </si>
  <si>
    <t>19640000-4</t>
  </si>
  <si>
    <t>Марки</t>
  </si>
  <si>
    <t>22410000-7</t>
  </si>
  <si>
    <t>Періодичні спеціалізовані видання</t>
  </si>
  <si>
    <t>22211000-2</t>
  </si>
  <si>
    <t>Паперові чи картонні реєстраційні журнали</t>
  </si>
  <si>
    <t>22810000-1</t>
  </si>
  <si>
    <t>Бланки</t>
  </si>
  <si>
    <t>22820000-4</t>
  </si>
  <si>
    <t>Друкована продукція різна</t>
  </si>
  <si>
    <t>22900000-9</t>
  </si>
</sst>
</file>

<file path=xl/styles.xml><?xml version="1.0" encoding="utf-8"?>
<styleSheet xmlns="http://schemas.openxmlformats.org/spreadsheetml/2006/main">
  <numFmts count="16">
    <numFmt numFmtId="164" formatCode="_(* #,##0_);_(* \(#,##0\);_(* &quot;-&quot;_);_(@_)"/>
    <numFmt numFmtId="165" formatCode="#,##0.0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_([$UAH]\ * #,##0.00_);_([$UAH]\ * \(#,##0.00\);_([$UAH]\ * &quot;-&quot;??_);_(@_)"/>
    <numFmt numFmtId="169" formatCode="#,##0_ ;\-#,##0\ "/>
    <numFmt numFmtId="170" formatCode="0.0"/>
    <numFmt numFmtId="171" formatCode="0.0%"/>
    <numFmt numFmtId="172" formatCode="_-* #,##0_р_._-;\-* #,##0_р_._-;_-* &quot;-&quot;_р_._-;_-@_-"/>
    <numFmt numFmtId="173" formatCode="_-* #,##0.00\ _р_._-;\-* #,##0.00\ _р_._-;_-* &quot;-&quot;??\ _р_._-;_-@_-"/>
    <numFmt numFmtId="174" formatCode="0.000"/>
    <numFmt numFmtId="175" formatCode="0.0000"/>
    <numFmt numFmtId="176" formatCode="#,##0.000000"/>
    <numFmt numFmtId="177" formatCode="0.0000000"/>
    <numFmt numFmtId="178" formatCode="0.00000"/>
    <numFmt numFmtId="179" formatCode="0.000000"/>
  </numFmts>
  <fonts count="15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trike/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3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6"/>
      <color indexed="3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26"/>
      <color indexed="30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4"/>
      <name val="Arial"/>
      <family val="2"/>
      <charset val="204"/>
    </font>
    <font>
      <b/>
      <sz val="36"/>
      <color indexed="10"/>
      <name val="Times New Roman"/>
      <family val="1"/>
      <charset val="204"/>
    </font>
    <font>
      <sz val="30"/>
      <name val="Times New Roman"/>
      <family val="1"/>
      <charset val="204"/>
    </font>
    <font>
      <sz val="50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Times New Roman"/>
      <family val="1"/>
      <charset val="204"/>
    </font>
    <font>
      <sz val="10"/>
      <name val="Helv"/>
    </font>
    <font>
      <sz val="12"/>
      <name val="UkrainianPragmatica"/>
      <charset val="204"/>
    </font>
    <font>
      <sz val="22"/>
      <color indexed="8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2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5"/>
      <name val="Times New Roman"/>
      <family val="1"/>
      <charset val="204"/>
    </font>
    <font>
      <b/>
      <strike/>
      <sz val="14"/>
      <color indexed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b/>
      <i/>
      <sz val="20"/>
      <name val="Times New Roman"/>
      <family val="1"/>
      <charset val="204"/>
    </font>
    <font>
      <u/>
      <sz val="10"/>
      <name val="Arial Cyr"/>
      <charset val="204"/>
    </font>
    <font>
      <sz val="15"/>
      <color indexed="36"/>
      <name val="Times New Roman"/>
      <family val="1"/>
      <charset val="204"/>
    </font>
    <font>
      <i/>
      <sz val="22"/>
      <name val="Times New Roman"/>
      <family val="1"/>
      <charset val="204"/>
    </font>
    <font>
      <sz val="25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6"/>
      <color indexed="1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"/>
      <family val="2"/>
      <charset val="204"/>
    </font>
    <font>
      <b/>
      <sz val="26"/>
      <color indexed="18"/>
      <name val="Arial"/>
      <family val="2"/>
      <charset val="204"/>
    </font>
    <font>
      <b/>
      <sz val="26"/>
      <color indexed="62"/>
      <name val="Arial"/>
      <family val="2"/>
      <charset val="204"/>
    </font>
    <font>
      <b/>
      <sz val="26"/>
      <color indexed="18"/>
      <name val="Times New Roman"/>
      <family val="1"/>
      <charset val="204"/>
    </font>
    <font>
      <b/>
      <sz val="26"/>
      <color indexed="62"/>
      <name val="Times New Roman"/>
      <family val="1"/>
      <charset val="204"/>
    </font>
    <font>
      <sz val="26"/>
      <color indexed="8"/>
      <name val="Calibri"/>
      <family val="2"/>
    </font>
    <font>
      <sz val="26"/>
      <color indexed="12"/>
      <name val="Arial"/>
      <family val="2"/>
      <charset val="204"/>
    </font>
    <font>
      <sz val="25"/>
      <name val="Arial"/>
      <family val="2"/>
      <charset val="204"/>
    </font>
    <font>
      <u/>
      <sz val="25"/>
      <name val="Times New Roman"/>
      <family val="1"/>
      <charset val="204"/>
    </font>
    <font>
      <b/>
      <sz val="11"/>
      <name val="Calibri"/>
      <family val="2"/>
    </font>
    <font>
      <b/>
      <i/>
      <sz val="25"/>
      <name val="Times New Roman"/>
      <family val="1"/>
      <charset val="204"/>
    </font>
    <font>
      <sz val="23"/>
      <name val="Arial"/>
      <family val="2"/>
      <charset val="204"/>
    </font>
    <font>
      <sz val="23"/>
      <name val="Times New Roman"/>
      <family val="1"/>
      <charset val="204"/>
    </font>
    <font>
      <b/>
      <sz val="23"/>
      <name val="Times New Roman"/>
      <family val="1"/>
      <charset val="204"/>
    </font>
    <font>
      <sz val="35"/>
      <name val="Times New Roman"/>
      <family val="1"/>
      <charset val="204"/>
    </font>
    <font>
      <sz val="11"/>
      <name val="Calibri"/>
      <family val="2"/>
    </font>
    <font>
      <b/>
      <sz val="30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4"/>
      <color indexed="8"/>
      <name val="Times New Roman"/>
      <family val="1"/>
      <charset val="204"/>
    </font>
    <font>
      <b/>
      <sz val="15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16"/>
      <color indexed="8"/>
      <name val="Calibri"/>
      <family val="2"/>
    </font>
    <font>
      <b/>
      <i/>
      <sz val="16"/>
      <name val="Times New Roman"/>
      <family val="1"/>
      <charset val="204"/>
    </font>
    <font>
      <strike/>
      <sz val="16"/>
      <name val="Times New Roman"/>
      <family val="1"/>
      <charset val="204"/>
    </font>
    <font>
      <b/>
      <sz val="15"/>
      <name val="Calibri"/>
      <family val="2"/>
    </font>
    <font>
      <sz val="15"/>
      <name val="Calibri"/>
      <family val="2"/>
    </font>
    <font>
      <sz val="10"/>
      <name val="Calibri"/>
      <family val="2"/>
    </font>
    <font>
      <i/>
      <sz val="10"/>
      <name val="Times New Roman"/>
      <family val="1"/>
      <charset val="204"/>
    </font>
    <font>
      <sz val="11"/>
      <name val="Arial"/>
      <family val="2"/>
      <charset val="204"/>
    </font>
    <font>
      <u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trike/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0"/>
      <color indexed="8"/>
      <name val="Calibri"/>
      <family val="2"/>
    </font>
    <font>
      <sz val="22"/>
      <name val="Arial"/>
      <family val="2"/>
      <charset val="204"/>
    </font>
    <font>
      <sz val="20"/>
      <name val="Arial"/>
      <family val="2"/>
      <charset val="204"/>
    </font>
    <font>
      <b/>
      <sz val="26"/>
      <name val="Arial"/>
      <family val="2"/>
      <charset val="204"/>
    </font>
    <font>
      <sz val="26"/>
      <name val="Calibri"/>
      <family val="2"/>
    </font>
    <font>
      <sz val="14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10"/>
      <name val="Calibri"/>
      <family val="2"/>
    </font>
    <font>
      <sz val="23"/>
      <color indexed="10"/>
      <name val="Times New Roman"/>
      <family val="1"/>
      <charset val="204"/>
    </font>
    <font>
      <sz val="25"/>
      <color indexed="10"/>
      <name val="Times New Roman"/>
      <family val="1"/>
      <charset val="204"/>
    </font>
    <font>
      <sz val="25"/>
      <name val="Times New Roman"/>
      <family val="1"/>
    </font>
    <font>
      <sz val="22"/>
      <color indexed="10"/>
      <name val="Times New Roman"/>
      <family val="1"/>
      <charset val="204"/>
    </font>
    <font>
      <sz val="23"/>
      <name val="Times New Roman"/>
      <family val="1"/>
    </font>
    <font>
      <sz val="30"/>
      <color indexed="10"/>
      <name val="Times New Roman"/>
      <family val="1"/>
      <charset val="204"/>
    </font>
    <font>
      <sz val="30"/>
      <name val="Arial"/>
      <family val="2"/>
      <charset val="204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3" fillId="0" borderId="0"/>
    <xf numFmtId="0" fontId="79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54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151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9" fontId="1" fillId="0" borderId="0" applyFont="0" applyFill="0" applyBorder="0" applyAlignment="0" applyProtection="0"/>
    <xf numFmtId="0" fontId="62" fillId="0" borderId="0"/>
    <xf numFmtId="172" fontId="3" fillId="0" borderId="0" applyFont="0" applyFill="0" applyBorder="0" applyAlignment="0" applyProtection="0"/>
    <xf numFmtId="173" fontId="63" fillId="0" borderId="0" applyFont="0" applyFill="0" applyBorder="0" applyAlignment="0" applyProtection="0"/>
  </cellStyleXfs>
  <cellXfs count="998">
    <xf numFmtId="0" fontId="0" fillId="0" borderId="0" xfId="0"/>
    <xf numFmtId="0" fontId="4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12" fillId="0" borderId="1" xfId="6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12" fillId="3" borderId="1" xfId="0" applyFont="1" applyFill="1" applyBorder="1" applyAlignment="1">
      <alignment wrapText="1"/>
    </xf>
    <xf numFmtId="0" fontId="12" fillId="2" borderId="0" xfId="6" applyFont="1" applyFill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3" fontId="18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9" fillId="5" borderId="0" xfId="0" applyFont="1" applyFill="1"/>
    <xf numFmtId="0" fontId="10" fillId="5" borderId="0" xfId="0" applyFont="1" applyFill="1"/>
    <xf numFmtId="0" fontId="11" fillId="0" borderId="0" xfId="0" applyFont="1" applyAlignment="1">
      <alignment horizontal="left"/>
    </xf>
    <xf numFmtId="0" fontId="9" fillId="0" borderId="0" xfId="0" applyFont="1"/>
    <xf numFmtId="0" fontId="20" fillId="2" borderId="0" xfId="0" applyFont="1" applyFill="1"/>
    <xf numFmtId="0" fontId="21" fillId="2" borderId="0" xfId="0" applyFont="1" applyFill="1"/>
    <xf numFmtId="0" fontId="14" fillId="2" borderId="0" xfId="0" applyFont="1" applyFill="1"/>
    <xf numFmtId="0" fontId="22" fillId="2" borderId="0" xfId="0" applyFont="1" applyFill="1"/>
    <xf numFmtId="0" fontId="5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9" fontId="27" fillId="4" borderId="1" xfId="14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9" fontId="27" fillId="2" borderId="0" xfId="14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30" fillId="5" borderId="0" xfId="0" applyFont="1" applyFill="1"/>
    <xf numFmtId="0" fontId="22" fillId="0" borderId="0" xfId="0" applyFont="1"/>
    <xf numFmtId="0" fontId="32" fillId="0" borderId="0" xfId="0" applyFont="1"/>
    <xf numFmtId="0" fontId="36" fillId="0" borderId="0" xfId="0" applyFont="1"/>
    <xf numFmtId="0" fontId="37" fillId="0" borderId="0" xfId="0" applyFont="1"/>
    <xf numFmtId="0" fontId="35" fillId="0" borderId="0" xfId="0" applyFont="1"/>
    <xf numFmtId="0" fontId="39" fillId="0" borderId="0" xfId="0" applyFont="1"/>
    <xf numFmtId="0" fontId="32" fillId="0" borderId="0" xfId="0" applyFont="1" applyAlignment="1">
      <alignment horizontal="center" vertical="center"/>
    </xf>
    <xf numFmtId="0" fontId="12" fillId="3" borderId="1" xfId="6" applyFont="1" applyFill="1" applyBorder="1" applyAlignment="1">
      <alignment horizontal="left" vertical="center" wrapText="1"/>
    </xf>
    <xf numFmtId="169" fontId="49" fillId="2" borderId="1" xfId="0" applyNumberFormat="1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/>
    <xf numFmtId="3" fontId="38" fillId="3" borderId="1" xfId="0" applyNumberFormat="1" applyFont="1" applyFill="1" applyBorder="1" applyAlignment="1">
      <alignment horizontal="center" vertical="center"/>
    </xf>
    <xf numFmtId="0" fontId="47" fillId="2" borderId="0" xfId="0" applyFont="1" applyFill="1"/>
    <xf numFmtId="169" fontId="49" fillId="0" borderId="1" xfId="0" applyNumberFormat="1" applyFont="1" applyBorder="1" applyAlignment="1">
      <alignment horizontal="center" vertical="center"/>
    </xf>
    <xf numFmtId="0" fontId="21" fillId="2" borderId="0" xfId="0" applyFont="1" applyFill="1" applyBorder="1"/>
    <xf numFmtId="0" fontId="20" fillId="2" borderId="0" xfId="0" applyFont="1" applyFill="1" applyBorder="1"/>
    <xf numFmtId="0" fontId="51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2" fillId="0" borderId="1" xfId="6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37" fillId="0" borderId="0" xfId="0" applyFont="1" applyFill="1"/>
    <xf numFmtId="0" fontId="4" fillId="0" borderId="0" xfId="6" applyFont="1" applyBorder="1" applyAlignment="1">
      <alignment vertical="center"/>
    </xf>
    <xf numFmtId="0" fontId="54" fillId="2" borderId="0" xfId="12" applyFont="1" applyFill="1"/>
    <xf numFmtId="0" fontId="58" fillId="2" borderId="0" xfId="12" applyFont="1" applyFill="1"/>
    <xf numFmtId="0" fontId="61" fillId="2" borderId="0" xfId="12" applyFont="1" applyFill="1"/>
    <xf numFmtId="0" fontId="56" fillId="0" borderId="0" xfId="12" applyFont="1" applyFill="1" applyAlignment="1">
      <alignment horizontal="center"/>
    </xf>
    <xf numFmtId="0" fontId="54" fillId="0" borderId="0" xfId="12" applyFont="1" applyFill="1"/>
    <xf numFmtId="0" fontId="54" fillId="0" borderId="0" xfId="12" applyFill="1"/>
    <xf numFmtId="0" fontId="58" fillId="0" borderId="0" xfId="12" applyFont="1" applyFill="1"/>
    <xf numFmtId="4" fontId="39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44" fillId="0" borderId="0" xfId="12" applyFont="1" applyFill="1" applyAlignment="1">
      <alignment vertical="center"/>
    </xf>
    <xf numFmtId="2" fontId="44" fillId="0" borderId="0" xfId="12" applyNumberFormat="1" applyFont="1" applyFill="1" applyAlignment="1">
      <alignment vertical="center"/>
    </xf>
    <xf numFmtId="0" fontId="43" fillId="0" borderId="0" xfId="12" applyFont="1" applyFill="1" applyAlignment="1">
      <alignment vertical="center"/>
    </xf>
    <xf numFmtId="0" fontId="43" fillId="0" borderId="0" xfId="12" applyFont="1" applyFill="1"/>
    <xf numFmtId="0" fontId="0" fillId="0" borderId="0" xfId="0" applyFont="1"/>
    <xf numFmtId="3" fontId="0" fillId="0" borderId="0" xfId="0" applyNumberFormat="1"/>
    <xf numFmtId="0" fontId="69" fillId="0" borderId="0" xfId="0" applyFont="1" applyFill="1"/>
    <xf numFmtId="0" fontId="68" fillId="0" borderId="0" xfId="0" applyFont="1" applyFill="1"/>
    <xf numFmtId="0" fontId="78" fillId="0" borderId="0" xfId="6" applyFont="1" applyAlignment="1">
      <alignment vertical="center"/>
    </xf>
    <xf numFmtId="0" fontId="67" fillId="0" borderId="1" xfId="0" applyFont="1" applyFill="1" applyBorder="1" applyAlignment="1">
      <alignment horizontal="center"/>
    </xf>
    <xf numFmtId="0" fontId="80" fillId="0" borderId="0" xfId="0" applyFont="1"/>
    <xf numFmtId="14" fontId="57" fillId="0" borderId="0" xfId="12" applyNumberFormat="1" applyFont="1" applyFill="1" applyAlignment="1">
      <alignment horizontal="center"/>
    </xf>
    <xf numFmtId="0" fontId="58" fillId="0" borderId="0" xfId="12" applyFont="1" applyFill="1" applyAlignment="1">
      <alignment horizontal="center"/>
    </xf>
    <xf numFmtId="0" fontId="43" fillId="0" borderId="0" xfId="12" applyFont="1" applyFill="1" applyAlignment="1">
      <alignment horizontal="center"/>
    </xf>
    <xf numFmtId="0" fontId="70" fillId="0" borderId="0" xfId="12" applyFont="1" applyFill="1" applyBorder="1" applyAlignment="1">
      <alignment horizontal="center"/>
    </xf>
    <xf numFmtId="0" fontId="56" fillId="2" borderId="0" xfId="12" applyFont="1" applyFill="1" applyAlignment="1">
      <alignment horizontal="center"/>
    </xf>
    <xf numFmtId="0" fontId="23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8" fillId="0" borderId="1" xfId="0" applyFont="1" applyBorder="1" applyAlignment="1">
      <alignment vertical="center" wrapText="1"/>
    </xf>
    <xf numFmtId="167" fontId="7" fillId="0" borderId="1" xfId="0" applyNumberFormat="1" applyFont="1" applyBorder="1"/>
    <xf numFmtId="167" fontId="28" fillId="0" borderId="1" xfId="0" applyNumberFormat="1" applyFont="1" applyBorder="1" applyAlignment="1">
      <alignment horizontal="right"/>
    </xf>
    <xf numFmtId="165" fontId="50" fillId="0" borderId="1" xfId="3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 applyAlignment="1">
      <alignment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5" fontId="48" fillId="0" borderId="1" xfId="0" applyNumberFormat="1" applyFont="1" applyBorder="1" applyAlignment="1">
      <alignment horizontal="center" vertical="center" wrapText="1"/>
    </xf>
    <xf numFmtId="0" fontId="14" fillId="7" borderId="1" xfId="0" applyFont="1" applyFill="1" applyBorder="1"/>
    <xf numFmtId="167" fontId="24" fillId="0" borderId="1" xfId="0" applyNumberFormat="1" applyFont="1" applyFill="1" applyBorder="1" applyAlignment="1">
      <alignment horizontal="right"/>
    </xf>
    <xf numFmtId="165" fontId="50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29" fillId="0" borderId="1" xfId="0" applyFont="1" applyFill="1" applyBorder="1" applyAlignment="1">
      <alignment horizontal="left" vertical="center" wrapText="1" indent="2"/>
    </xf>
    <xf numFmtId="164" fontId="14" fillId="0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5" fontId="4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7" fontId="28" fillId="0" borderId="1" xfId="0" applyNumberFormat="1" applyFont="1" applyBorder="1"/>
    <xf numFmtId="164" fontId="14" fillId="0" borderId="1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41" fillId="0" borderId="1" xfId="12" applyFont="1" applyFill="1" applyBorder="1" applyAlignment="1">
      <alignment vertical="center" wrapText="1"/>
    </xf>
    <xf numFmtId="0" fontId="77" fillId="0" borderId="1" xfId="0" applyFont="1" applyFill="1" applyBorder="1" applyAlignment="1">
      <alignment horizontal="center"/>
    </xf>
    <xf numFmtId="0" fontId="0" fillId="0" borderId="0" xfId="0" applyFill="1"/>
    <xf numFmtId="0" fontId="77" fillId="0" borderId="1" xfId="0" applyFont="1" applyFill="1" applyBorder="1" applyAlignment="1">
      <alignment horizontal="left" wrapText="1"/>
    </xf>
    <xf numFmtId="0" fontId="37" fillId="0" borderId="0" xfId="0" applyFont="1" applyFill="1" applyAlignment="1">
      <alignment horizontal="center" vertical="center"/>
    </xf>
    <xf numFmtId="0" fontId="39" fillId="0" borderId="0" xfId="0" applyFont="1" applyFill="1"/>
    <xf numFmtId="0" fontId="69" fillId="0" borderId="0" xfId="0" applyFont="1" applyFill="1" applyAlignment="1">
      <alignment horizontal="center" vertical="center"/>
    </xf>
    <xf numFmtId="0" fontId="77" fillId="0" borderId="0" xfId="0" applyFont="1" applyFill="1" applyAlignment="1">
      <alignment horizontal="center" vertical="center"/>
    </xf>
    <xf numFmtId="0" fontId="77" fillId="0" borderId="0" xfId="0" applyFont="1" applyFill="1"/>
    <xf numFmtId="1" fontId="83" fillId="0" borderId="0" xfId="0" applyNumberFormat="1" applyFont="1" applyFill="1"/>
    <xf numFmtId="0" fontId="68" fillId="0" borderId="0" xfId="0" applyFont="1" applyFill="1" applyAlignment="1">
      <alignment horizontal="center" vertical="center"/>
    </xf>
    <xf numFmtId="0" fontId="45" fillId="0" borderId="1" xfId="0" applyFont="1" applyFill="1" applyBorder="1" applyAlignment="1" applyProtection="1">
      <alignment horizontal="center" wrapText="1"/>
      <protection locked="0"/>
    </xf>
    <xf numFmtId="0" fontId="61" fillId="0" borderId="1" xfId="0" applyFont="1" applyFill="1" applyBorder="1" applyAlignment="1" applyProtection="1">
      <alignment horizontal="center" wrapText="1"/>
      <protection locked="0"/>
    </xf>
    <xf numFmtId="0" fontId="64" fillId="2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wrapText="1"/>
    </xf>
    <xf numFmtId="0" fontId="64" fillId="0" borderId="1" xfId="0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64" fillId="0" borderId="1" xfId="0" applyFont="1" applyFill="1" applyBorder="1" applyAlignment="1"/>
    <xf numFmtId="0" fontId="61" fillId="0" borderId="0" xfId="0" applyFont="1" applyAlignment="1">
      <alignment vertical="center"/>
    </xf>
    <xf numFmtId="0" fontId="40" fillId="0" borderId="1" xfId="12" applyFont="1" applyFill="1" applyBorder="1" applyAlignment="1">
      <alignment horizontal="center" vertical="center" wrapText="1"/>
    </xf>
    <xf numFmtId="0" fontId="85" fillId="0" borderId="0" xfId="12" applyFont="1" applyFill="1" applyBorder="1" applyAlignment="1">
      <alignment horizontal="left"/>
    </xf>
    <xf numFmtId="14" fontId="87" fillId="0" borderId="0" xfId="12" applyNumberFormat="1" applyFont="1" applyFill="1" applyAlignment="1"/>
    <xf numFmtId="0" fontId="88" fillId="0" borderId="0" xfId="12" applyFont="1" applyFill="1" applyAlignment="1"/>
    <xf numFmtId="0" fontId="89" fillId="0" borderId="0" xfId="12" applyFont="1" applyFill="1" applyBorder="1" applyAlignment="1">
      <alignment horizontal="left"/>
    </xf>
    <xf numFmtId="0" fontId="89" fillId="0" borderId="0" xfId="12" applyFont="1" applyFill="1" applyAlignment="1"/>
    <xf numFmtId="0" fontId="89" fillId="2" borderId="0" xfId="12" applyFont="1" applyFill="1" applyAlignment="1"/>
    <xf numFmtId="0" fontId="90" fillId="0" borderId="0" xfId="12" applyFont="1" applyFill="1" applyAlignment="1">
      <alignment horizontal="center"/>
    </xf>
    <xf numFmtId="0" fontId="91" fillId="8" borderId="0" xfId="12" applyFont="1" applyFill="1" applyAlignment="1">
      <alignment horizontal="center"/>
    </xf>
    <xf numFmtId="0" fontId="92" fillId="0" borderId="0" xfId="12" applyFont="1" applyFill="1" applyAlignment="1">
      <alignment horizontal="center"/>
    </xf>
    <xf numFmtId="0" fontId="90" fillId="0" borderId="0" xfId="12" applyFont="1" applyFill="1" applyAlignment="1">
      <alignment horizontal="right"/>
    </xf>
    <xf numFmtId="0" fontId="93" fillId="8" borderId="0" xfId="12" applyFont="1" applyFill="1" applyAlignment="1">
      <alignment horizontal="center"/>
    </xf>
    <xf numFmtId="0" fontId="89" fillId="0" borderId="0" xfId="12" applyFont="1" applyFill="1" applyAlignment="1">
      <alignment horizontal="center"/>
    </xf>
    <xf numFmtId="0" fontId="94" fillId="0" borderId="0" xfId="12" applyFont="1" applyFill="1" applyAlignment="1">
      <alignment horizontal="center"/>
    </xf>
    <xf numFmtId="2" fontId="89" fillId="0" borderId="0" xfId="12" applyNumberFormat="1" applyFont="1" applyFill="1" applyAlignment="1">
      <alignment horizontal="center"/>
    </xf>
    <xf numFmtId="0" fontId="89" fillId="0" borderId="0" xfId="12" applyFont="1" applyFill="1" applyAlignment="1">
      <alignment horizontal="right"/>
    </xf>
    <xf numFmtId="170" fontId="89" fillId="0" borderId="0" xfId="12" applyNumberFormat="1" applyFont="1" applyFill="1" applyAlignment="1">
      <alignment horizontal="right"/>
    </xf>
    <xf numFmtId="171" fontId="89" fillId="0" borderId="0" xfId="12" applyNumberFormat="1" applyFont="1" applyFill="1" applyAlignment="1">
      <alignment horizontal="right"/>
    </xf>
    <xf numFmtId="0" fontId="90" fillId="0" borderId="0" xfId="12" applyFont="1" applyFill="1" applyBorder="1" applyAlignment="1">
      <alignment horizontal="center"/>
    </xf>
    <xf numFmtId="0" fontId="90" fillId="0" borderId="0" xfId="12" applyFont="1" applyFill="1" applyBorder="1" applyAlignment="1">
      <alignment horizontal="right"/>
    </xf>
    <xf numFmtId="3" fontId="90" fillId="0" borderId="0" xfId="12" applyNumberFormat="1" applyFont="1" applyFill="1" applyBorder="1" applyAlignment="1">
      <alignment horizontal="right"/>
    </xf>
    <xf numFmtId="9" fontId="90" fillId="0" borderId="0" xfId="12" applyNumberFormat="1" applyFont="1" applyFill="1" applyBorder="1" applyAlignment="1">
      <alignment horizontal="right"/>
    </xf>
    <xf numFmtId="0" fontId="91" fillId="0" borderId="0" xfId="12" applyFont="1" applyFill="1" applyAlignment="1">
      <alignment horizontal="center"/>
    </xf>
    <xf numFmtId="0" fontId="96" fillId="0" borderId="0" xfId="12" applyFont="1" applyFill="1" applyAlignment="1">
      <alignment horizontal="right"/>
    </xf>
    <xf numFmtId="0" fontId="90" fillId="2" borderId="0" xfId="12" applyFont="1" applyFill="1" applyAlignment="1">
      <alignment horizontal="center"/>
    </xf>
    <xf numFmtId="0" fontId="97" fillId="0" borderId="0" xfId="12" applyFont="1" applyFill="1" applyAlignment="1">
      <alignment horizontal="center"/>
    </xf>
    <xf numFmtId="0" fontId="85" fillId="0" borderId="0" xfId="12" applyFont="1" applyFill="1" applyAlignment="1">
      <alignment horizontal="center"/>
    </xf>
    <xf numFmtId="0" fontId="97" fillId="0" borderId="0" xfId="12" applyFont="1" applyFill="1" applyBorder="1" applyAlignment="1">
      <alignment horizontal="center"/>
    </xf>
    <xf numFmtId="0" fontId="85" fillId="0" borderId="0" xfId="12" applyFont="1" applyFill="1" applyBorder="1"/>
    <xf numFmtId="0" fontId="97" fillId="0" borderId="0" xfId="12" applyFont="1" applyFill="1" applyBorder="1"/>
    <xf numFmtId="9" fontId="97" fillId="0" borderId="0" xfId="12" applyNumberFormat="1" applyFont="1" applyFill="1" applyBorder="1" applyAlignment="1">
      <alignment horizontal="center" vertical="center" wrapText="1"/>
    </xf>
    <xf numFmtId="4" fontId="85" fillId="0" borderId="0" xfId="12" applyNumberFormat="1" applyFont="1" applyFill="1" applyBorder="1"/>
    <xf numFmtId="0" fontId="97" fillId="2" borderId="0" xfId="12" applyFont="1" applyFill="1" applyAlignment="1">
      <alignment horizontal="center"/>
    </xf>
    <xf numFmtId="0" fontId="99" fillId="0" borderId="0" xfId="0" applyFont="1" applyFill="1"/>
    <xf numFmtId="0" fontId="88" fillId="0" borderId="1" xfId="0" applyFont="1" applyFill="1" applyBorder="1" applyAlignment="1">
      <alignment horizontal="right" vertical="center" wrapText="1"/>
    </xf>
    <xf numFmtId="0" fontId="43" fillId="0" borderId="1" xfId="12" applyFont="1" applyFill="1" applyBorder="1" applyAlignment="1">
      <alignment vertical="center"/>
    </xf>
    <xf numFmtId="0" fontId="88" fillId="0" borderId="0" xfId="12" applyFont="1" applyFill="1" applyAlignment="1">
      <alignment vertical="center"/>
    </xf>
    <xf numFmtId="0" fontId="86" fillId="0" borderId="1" xfId="12" applyFont="1" applyFill="1" applyBorder="1" applyAlignment="1">
      <alignment vertical="center"/>
    </xf>
    <xf numFmtId="3" fontId="86" fillId="0" borderId="1" xfId="12" applyNumberFormat="1" applyFont="1" applyFill="1" applyBorder="1" applyAlignment="1">
      <alignment horizontal="center" vertical="center"/>
    </xf>
    <xf numFmtId="4" fontId="86" fillId="0" borderId="1" xfId="12" applyNumberFormat="1" applyFont="1" applyFill="1" applyBorder="1" applyAlignment="1">
      <alignment horizontal="center" vertical="center"/>
    </xf>
    <xf numFmtId="2" fontId="86" fillId="0" borderId="1" xfId="12" applyNumberFormat="1" applyFont="1" applyFill="1" applyBorder="1" applyAlignment="1">
      <alignment horizontal="center" vertical="center"/>
    </xf>
    <xf numFmtId="170" fontId="86" fillId="0" borderId="1" xfId="12" applyNumberFormat="1" applyFont="1" applyFill="1" applyBorder="1" applyAlignment="1">
      <alignment horizontal="center" vertical="center"/>
    </xf>
    <xf numFmtId="1" fontId="86" fillId="0" borderId="1" xfId="12" applyNumberFormat="1" applyFont="1" applyFill="1" applyBorder="1" applyAlignment="1">
      <alignment horizontal="center" vertical="center"/>
    </xf>
    <xf numFmtId="0" fontId="101" fillId="0" borderId="0" xfId="12" applyFont="1" applyFill="1" applyAlignment="1">
      <alignment horizontal="center"/>
    </xf>
    <xf numFmtId="0" fontId="102" fillId="0" borderId="0" xfId="12" applyFont="1" applyFill="1" applyAlignment="1">
      <alignment horizontal="center"/>
    </xf>
    <xf numFmtId="0" fontId="103" fillId="0" borderId="1" xfId="12" applyFont="1" applyFill="1" applyBorder="1" applyAlignment="1">
      <alignment vertical="center"/>
    </xf>
    <xf numFmtId="0" fontId="102" fillId="0" borderId="0" xfId="12" applyFont="1" applyFill="1" applyBorder="1"/>
    <xf numFmtId="0" fontId="101" fillId="2" borderId="0" xfId="12" applyFont="1" applyFill="1" applyAlignment="1">
      <alignment horizontal="center"/>
    </xf>
    <xf numFmtId="0" fontId="86" fillId="0" borderId="1" xfId="12" applyFont="1" applyFill="1" applyBorder="1" applyAlignment="1">
      <alignment horizontal="center" vertical="center" wrapText="1"/>
    </xf>
    <xf numFmtId="0" fontId="103" fillId="0" borderId="1" xfId="12" applyFont="1" applyFill="1" applyBorder="1" applyAlignment="1">
      <alignment horizontal="center" vertical="center" wrapText="1"/>
    </xf>
    <xf numFmtId="0" fontId="86" fillId="0" borderId="1" xfId="12" applyFont="1" applyFill="1" applyBorder="1" applyAlignment="1">
      <alignment horizontal="center" vertical="center"/>
    </xf>
    <xf numFmtId="0" fontId="85" fillId="0" borderId="1" xfId="12" applyFont="1" applyFill="1" applyBorder="1" applyAlignment="1">
      <alignment horizontal="center" vertical="center"/>
    </xf>
    <xf numFmtId="0" fontId="88" fillId="0" borderId="1" xfId="12" applyFont="1" applyFill="1" applyBorder="1" applyAlignment="1">
      <alignment horizontal="center" vertical="center"/>
    </xf>
    <xf numFmtId="0" fontId="88" fillId="0" borderId="1" xfId="12" applyFont="1" applyFill="1" applyBorder="1" applyAlignment="1">
      <alignment horizontal="right" vertical="center"/>
    </xf>
    <xf numFmtId="0" fontId="85" fillId="0" borderId="1" xfId="12" applyFont="1" applyFill="1" applyBorder="1" applyAlignment="1">
      <alignment vertical="center" wrapText="1"/>
    </xf>
    <xf numFmtId="0" fontId="102" fillId="0" borderId="1" xfId="12" applyFont="1" applyFill="1" applyBorder="1" applyAlignment="1">
      <alignment horizontal="center" vertical="center" wrapText="1"/>
    </xf>
    <xf numFmtId="2" fontId="85" fillId="0" borderId="1" xfId="12" applyNumberFormat="1" applyFont="1" applyFill="1" applyBorder="1" applyAlignment="1">
      <alignment horizontal="center" vertical="center" wrapText="1"/>
    </xf>
    <xf numFmtId="174" fontId="85" fillId="0" borderId="1" xfId="12" applyNumberFormat="1" applyFont="1" applyFill="1" applyBorder="1" applyAlignment="1">
      <alignment horizontal="center" vertical="center" wrapText="1"/>
    </xf>
    <xf numFmtId="9" fontId="85" fillId="0" borderId="1" xfId="12" applyNumberFormat="1" applyFont="1" applyFill="1" applyBorder="1" applyAlignment="1">
      <alignment horizontal="center" vertical="center" wrapText="1"/>
    </xf>
    <xf numFmtId="2" fontId="89" fillId="0" borderId="1" xfId="12" applyNumberFormat="1" applyFont="1" applyFill="1" applyBorder="1" applyAlignment="1">
      <alignment horizontal="center" vertical="center" wrapText="1"/>
    </xf>
    <xf numFmtId="0" fontId="89" fillId="0" borderId="1" xfId="12" applyFont="1" applyFill="1" applyBorder="1" applyAlignment="1">
      <alignment horizontal="right" vertical="center"/>
    </xf>
    <xf numFmtId="170" fontId="85" fillId="0" borderId="1" xfId="12" applyNumberFormat="1" applyFont="1" applyFill="1" applyBorder="1" applyAlignment="1">
      <alignment horizontal="center" vertical="center" wrapText="1"/>
    </xf>
    <xf numFmtId="2" fontId="89" fillId="0" borderId="1" xfId="12" applyNumberFormat="1" applyFont="1" applyFill="1" applyBorder="1" applyAlignment="1">
      <alignment horizontal="right" vertical="center"/>
    </xf>
    <xf numFmtId="0" fontId="85" fillId="0" borderId="1" xfId="12" applyNumberFormat="1" applyFont="1" applyFill="1" applyBorder="1" applyAlignment="1">
      <alignment horizontal="center" vertical="center" wrapText="1"/>
    </xf>
    <xf numFmtId="0" fontId="102" fillId="0" borderId="1" xfId="12" applyFont="1" applyFill="1" applyBorder="1" applyAlignment="1">
      <alignment horizontal="center" vertical="center"/>
    </xf>
    <xf numFmtId="2" fontId="88" fillId="0" borderId="1" xfId="12" applyNumberFormat="1" applyFont="1" applyFill="1" applyBorder="1" applyAlignment="1">
      <alignment horizontal="center" vertical="center"/>
    </xf>
    <xf numFmtId="1" fontId="89" fillId="0" borderId="1" xfId="12" applyNumberFormat="1" applyFont="1" applyFill="1" applyBorder="1" applyAlignment="1">
      <alignment horizontal="right" vertical="center"/>
    </xf>
    <xf numFmtId="2" fontId="86" fillId="0" borderId="1" xfId="12" applyNumberFormat="1" applyFont="1" applyFill="1" applyBorder="1" applyAlignment="1">
      <alignment horizontal="center" vertical="center" wrapText="1"/>
    </xf>
    <xf numFmtId="0" fontId="85" fillId="0" borderId="1" xfId="12" applyNumberFormat="1" applyFont="1" applyFill="1" applyBorder="1" applyAlignment="1">
      <alignment vertical="center" wrapText="1"/>
    </xf>
    <xf numFmtId="0" fontId="102" fillId="0" borderId="1" xfId="12" applyNumberFormat="1" applyFont="1" applyFill="1" applyBorder="1" applyAlignment="1">
      <alignment horizontal="center" vertical="center" wrapText="1"/>
    </xf>
    <xf numFmtId="0" fontId="100" fillId="0" borderId="1" xfId="12" applyFont="1" applyFill="1" applyBorder="1" applyAlignment="1">
      <alignment horizontal="center" vertical="center" wrapText="1"/>
    </xf>
    <xf numFmtId="0" fontId="86" fillId="0" borderId="1" xfId="12" applyFont="1" applyFill="1" applyBorder="1" applyAlignment="1">
      <alignment vertical="center" wrapText="1"/>
    </xf>
    <xf numFmtId="170" fontId="86" fillId="0" borderId="1" xfId="12" applyNumberFormat="1" applyFont="1" applyFill="1" applyBorder="1" applyAlignment="1">
      <alignment horizontal="center" vertical="center" wrapText="1"/>
    </xf>
    <xf numFmtId="0" fontId="86" fillId="0" borderId="1" xfId="12" applyNumberFormat="1" applyFont="1" applyFill="1" applyBorder="1" applyAlignment="1">
      <alignment horizontal="center" vertical="center" wrapText="1"/>
    </xf>
    <xf numFmtId="0" fontId="103" fillId="0" borderId="1" xfId="12" applyNumberFormat="1" applyFont="1" applyFill="1" applyBorder="1" applyAlignment="1">
      <alignment horizontal="center" vertical="center" wrapText="1"/>
    </xf>
    <xf numFmtId="0" fontId="86" fillId="0" borderId="1" xfId="12" applyNumberFormat="1" applyFont="1" applyFill="1" applyBorder="1" applyAlignment="1">
      <alignment horizontal="center" vertical="center"/>
    </xf>
    <xf numFmtId="0" fontId="88" fillId="0" borderId="1" xfId="12" applyNumberFormat="1" applyFont="1" applyFill="1" applyBorder="1" applyAlignment="1">
      <alignment horizontal="center" vertical="center"/>
    </xf>
    <xf numFmtId="0" fontId="100" fillId="0" borderId="1" xfId="12" applyNumberFormat="1" applyFont="1" applyFill="1" applyBorder="1" applyAlignment="1">
      <alignment horizontal="center" vertical="center" wrapText="1"/>
    </xf>
    <xf numFmtId="1" fontId="88" fillId="0" borderId="1" xfId="12" applyNumberFormat="1" applyFont="1" applyFill="1" applyBorder="1" applyAlignment="1">
      <alignment horizontal="center" vertical="center"/>
    </xf>
    <xf numFmtId="9" fontId="86" fillId="0" borderId="1" xfId="12" applyNumberFormat="1" applyFont="1" applyFill="1" applyBorder="1" applyAlignment="1">
      <alignment horizontal="center" vertical="center" wrapText="1"/>
    </xf>
    <xf numFmtId="0" fontId="103" fillId="0" borderId="1" xfId="12" applyFont="1" applyFill="1" applyBorder="1" applyAlignment="1">
      <alignment horizontal="center" vertical="center"/>
    </xf>
    <xf numFmtId="0" fontId="85" fillId="0" borderId="1" xfId="12" applyFont="1" applyFill="1" applyBorder="1" applyAlignment="1">
      <alignment horizontal="left" vertical="center" wrapText="1"/>
    </xf>
    <xf numFmtId="0" fontId="97" fillId="0" borderId="0" xfId="12" applyFont="1" applyFill="1" applyBorder="1" applyAlignment="1">
      <alignment horizontal="center" vertical="center"/>
    </xf>
    <xf numFmtId="0" fontId="85" fillId="0" borderId="0" xfId="12" applyFont="1" applyFill="1" applyBorder="1" applyAlignment="1">
      <alignment vertical="center"/>
    </xf>
    <xf numFmtId="0" fontId="97" fillId="0" borderId="0" xfId="12" applyFont="1" applyFill="1" applyBorder="1" applyAlignment="1">
      <alignment vertical="center"/>
    </xf>
    <xf numFmtId="0" fontId="85" fillId="0" borderId="0" xfId="12" applyFont="1" applyFill="1" applyBorder="1" applyAlignment="1">
      <alignment horizontal="left" vertical="center"/>
    </xf>
    <xf numFmtId="0" fontId="41" fillId="0" borderId="1" xfId="12" applyFont="1" applyFill="1" applyBorder="1" applyAlignment="1">
      <alignment vertical="center"/>
    </xf>
    <xf numFmtId="2" fontId="41" fillId="0" borderId="1" xfId="12" applyNumberFormat="1" applyFont="1" applyFill="1" applyBorder="1" applyAlignment="1">
      <alignment horizontal="center" vertical="center"/>
    </xf>
    <xf numFmtId="3" fontId="41" fillId="0" borderId="1" xfId="12" applyNumberFormat="1" applyFont="1" applyFill="1" applyBorder="1" applyAlignment="1">
      <alignment horizontal="center" vertical="center"/>
    </xf>
    <xf numFmtId="0" fontId="41" fillId="0" borderId="0" xfId="12" applyFont="1" applyFill="1" applyAlignment="1">
      <alignment vertical="center"/>
    </xf>
    <xf numFmtId="170" fontId="41" fillId="0" borderId="1" xfId="12" applyNumberFormat="1" applyFont="1" applyFill="1" applyBorder="1" applyAlignment="1">
      <alignment horizontal="center" vertical="center"/>
    </xf>
    <xf numFmtId="1" fontId="41" fillId="0" borderId="1" xfId="12" applyNumberFormat="1" applyFont="1" applyFill="1" applyBorder="1" applyAlignment="1">
      <alignment horizontal="center" vertical="center"/>
    </xf>
    <xf numFmtId="0" fontId="58" fillId="0" borderId="0" xfId="12" applyFont="1" applyFill="1" applyBorder="1" applyAlignment="1">
      <alignment horizontal="center" vertical="center"/>
    </xf>
    <xf numFmtId="0" fontId="58" fillId="0" borderId="0" xfId="12" applyFont="1" applyFill="1" applyBorder="1" applyAlignment="1">
      <alignment vertical="center"/>
    </xf>
    <xf numFmtId="0" fontId="104" fillId="0" borderId="0" xfId="12" applyFont="1" applyFill="1" applyBorder="1" applyAlignment="1">
      <alignment horizontal="center" vertical="center"/>
    </xf>
    <xf numFmtId="0" fontId="104" fillId="0" borderId="0" xfId="12" applyFont="1" applyFill="1" applyBorder="1" applyAlignment="1">
      <alignment horizontal="left" vertical="center"/>
    </xf>
    <xf numFmtId="0" fontId="104" fillId="0" borderId="2" xfId="12" applyFont="1" applyFill="1" applyBorder="1" applyAlignment="1">
      <alignment vertical="center"/>
    </xf>
    <xf numFmtId="0" fontId="104" fillId="0" borderId="2" xfId="12" applyFont="1" applyFill="1" applyBorder="1" applyAlignment="1">
      <alignment horizontal="right" vertical="center"/>
    </xf>
    <xf numFmtId="0" fontId="104" fillId="0" borderId="0" xfId="12" applyFont="1" applyFill="1" applyBorder="1" applyAlignment="1">
      <alignment horizontal="center"/>
    </xf>
    <xf numFmtId="0" fontId="104" fillId="0" borderId="0" xfId="12" applyFont="1" applyFill="1" applyBorder="1" applyAlignment="1">
      <alignment horizontal="left"/>
    </xf>
    <xf numFmtId="0" fontId="104" fillId="0" borderId="2" xfId="12" applyFont="1" applyFill="1" applyBorder="1"/>
    <xf numFmtId="0" fontId="104" fillId="0" borderId="2" xfId="12" applyFont="1" applyFill="1" applyBorder="1" applyAlignment="1">
      <alignment horizontal="right"/>
    </xf>
    <xf numFmtId="0" fontId="90" fillId="0" borderId="0" xfId="12" applyFont="1" applyFill="1" applyBorder="1" applyAlignment="1">
      <alignment horizontal="center" vertical="center"/>
    </xf>
    <xf numFmtId="3" fontId="90" fillId="0" borderId="0" xfId="12" applyNumberFormat="1" applyFont="1" applyFill="1" applyBorder="1" applyAlignment="1">
      <alignment horizontal="center" vertical="center"/>
    </xf>
    <xf numFmtId="0" fontId="105" fillId="0" borderId="0" xfId="0" applyFont="1" applyFill="1"/>
    <xf numFmtId="1" fontId="89" fillId="0" borderId="1" xfId="12" applyNumberFormat="1" applyFont="1" applyFill="1" applyBorder="1" applyAlignment="1">
      <alignment horizontal="center" vertical="center"/>
    </xf>
    <xf numFmtId="0" fontId="88" fillId="0" borderId="0" xfId="12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2" fontId="58" fillId="0" borderId="0" xfId="12" applyNumberFormat="1" applyFont="1" applyFill="1" applyBorder="1" applyAlignment="1">
      <alignment horizontal="center" vertical="center"/>
    </xf>
    <xf numFmtId="0" fontId="106" fillId="0" borderId="0" xfId="12" applyFont="1" applyFill="1" applyBorder="1" applyAlignment="1">
      <alignment horizontal="center" vertical="center"/>
    </xf>
    <xf numFmtId="0" fontId="106" fillId="0" borderId="0" xfId="12" applyFont="1" applyFill="1"/>
    <xf numFmtId="0" fontId="2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wrapText="1"/>
    </xf>
    <xf numFmtId="4" fontId="67" fillId="0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1" xfId="0" applyFont="1" applyFill="1" applyBorder="1" applyAlignment="1">
      <alignment horizontal="left"/>
    </xf>
    <xf numFmtId="4" fontId="37" fillId="0" borderId="1" xfId="0" applyNumberFormat="1" applyFont="1" applyFill="1" applyBorder="1" applyAlignment="1">
      <alignment horizontal="center"/>
    </xf>
    <xf numFmtId="0" fontId="107" fillId="0" borderId="0" xfId="0" applyFont="1" applyFill="1"/>
    <xf numFmtId="0" fontId="0" fillId="0" borderId="0" xfId="0" applyBorder="1"/>
    <xf numFmtId="0" fontId="32" fillId="0" borderId="0" xfId="0" applyFont="1" applyFill="1" applyBorder="1"/>
    <xf numFmtId="3" fontId="69" fillId="0" borderId="0" xfId="0" applyNumberFormat="1" applyFont="1" applyFill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left"/>
    </xf>
    <xf numFmtId="2" fontId="2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72" fillId="0" borderId="0" xfId="0" applyFont="1" applyFill="1"/>
    <xf numFmtId="0" fontId="7" fillId="0" borderId="1" xfId="2" applyFont="1" applyFill="1" applyBorder="1" applyAlignment="1" applyProtection="1">
      <alignment horizontal="left" vertical="top" wrapText="1"/>
    </xf>
    <xf numFmtId="0" fontId="7" fillId="0" borderId="1" xfId="2" applyFont="1" applyFill="1" applyBorder="1" applyAlignment="1" applyProtection="1">
      <alignment horizontal="right" vertical="top" wrapText="1"/>
    </xf>
    <xf numFmtId="174" fontId="7" fillId="0" borderId="1" xfId="0" applyNumberFormat="1" applyFont="1" applyFill="1" applyBorder="1" applyAlignment="1">
      <alignment horizontal="center" vertical="top"/>
    </xf>
    <xf numFmtId="0" fontId="7" fillId="0" borderId="0" xfId="0" applyFont="1" applyFill="1"/>
    <xf numFmtId="4" fontId="28" fillId="0" borderId="1" xfId="0" applyNumberFormat="1" applyFont="1" applyBorder="1" applyAlignment="1">
      <alignment horizontal="center"/>
    </xf>
    <xf numFmtId="4" fontId="28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75" fontId="6" fillId="0" borderId="0" xfId="0" applyNumberFormat="1" applyFont="1" applyAlignment="1">
      <alignment horizontal="center"/>
    </xf>
    <xf numFmtId="0" fontId="109" fillId="0" borderId="0" xfId="0" applyFont="1"/>
    <xf numFmtId="0" fontId="110" fillId="0" borderId="0" xfId="0" applyFont="1"/>
    <xf numFmtId="0" fontId="107" fillId="0" borderId="0" xfId="0" applyFont="1"/>
    <xf numFmtId="0" fontId="111" fillId="0" borderId="1" xfId="0" applyFont="1" applyBorder="1" applyAlignment="1">
      <alignment horizontal="center"/>
    </xf>
    <xf numFmtId="0" fontId="111" fillId="0" borderId="1" xfId="0" applyFont="1" applyBorder="1"/>
    <xf numFmtId="0" fontId="112" fillId="0" borderId="1" xfId="0" applyFont="1" applyBorder="1" applyAlignment="1">
      <alignment horizontal="center"/>
    </xf>
    <xf numFmtId="0" fontId="113" fillId="0" borderId="0" xfId="0" applyFont="1"/>
    <xf numFmtId="4" fontId="112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7" fillId="0" borderId="1" xfId="0" applyFont="1" applyBorder="1" applyAlignment="1">
      <alignment horizontal="center"/>
    </xf>
    <xf numFmtId="0" fontId="77" fillId="0" borderId="1" xfId="0" applyFont="1" applyBorder="1" applyAlignment="1">
      <alignment horizontal="left"/>
    </xf>
    <xf numFmtId="4" fontId="77" fillId="0" borderId="1" xfId="0" applyNumberFormat="1" applyFont="1" applyBorder="1" applyAlignment="1">
      <alignment horizontal="center" wrapText="1"/>
    </xf>
    <xf numFmtId="4" fontId="77" fillId="0" borderId="1" xfId="0" applyNumberFormat="1" applyFont="1" applyFill="1" applyBorder="1" applyAlignment="1">
      <alignment horizontal="center" wrapText="1"/>
    </xf>
    <xf numFmtId="0" fontId="77" fillId="8" borderId="1" xfId="0" applyFont="1" applyFill="1" applyBorder="1" applyAlignment="1">
      <alignment horizontal="center"/>
    </xf>
    <xf numFmtId="0" fontId="77" fillId="8" borderId="1" xfId="0" applyFont="1" applyFill="1" applyBorder="1" applyAlignment="1">
      <alignment horizontal="left"/>
    </xf>
    <xf numFmtId="4" fontId="77" fillId="8" borderId="1" xfId="0" applyNumberFormat="1" applyFont="1" applyFill="1" applyBorder="1" applyAlignment="1">
      <alignment horizontal="center"/>
    </xf>
    <xf numFmtId="2" fontId="77" fillId="0" borderId="1" xfId="0" applyNumberFormat="1" applyFont="1" applyBorder="1" applyAlignment="1">
      <alignment horizontal="center"/>
    </xf>
    <xf numFmtId="2" fontId="77" fillId="2" borderId="1" xfId="0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left"/>
    </xf>
    <xf numFmtId="0" fontId="77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9" borderId="1" xfId="6" applyFont="1" applyFill="1" applyBorder="1" applyAlignment="1">
      <alignment horizontal="left" vertical="center" wrapText="1"/>
    </xf>
    <xf numFmtId="4" fontId="34" fillId="9" borderId="1" xfId="0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7" applyFont="1" applyFill="1" applyBorder="1" applyAlignment="1">
      <alignment horizontal="left" vertical="center" wrapText="1"/>
    </xf>
    <xf numFmtId="0" fontId="6" fillId="9" borderId="1" xfId="7" applyFont="1" applyFill="1" applyBorder="1" applyAlignment="1">
      <alignment vertical="center" wrapText="1"/>
    </xf>
    <xf numFmtId="0" fontId="5" fillId="8" borderId="1" xfId="7" applyFont="1" applyFill="1" applyBorder="1" applyAlignment="1">
      <alignment vertical="center" wrapText="1"/>
    </xf>
    <xf numFmtId="4" fontId="33" fillId="8" borderId="1" xfId="0" applyNumberFormat="1" applyFont="1" applyFill="1" applyBorder="1" applyAlignment="1" applyProtection="1">
      <alignment horizontal="center"/>
      <protection locked="0"/>
    </xf>
    <xf numFmtId="0" fontId="5" fillId="2" borderId="1" xfId="7" applyFont="1" applyFill="1" applyBorder="1" applyAlignment="1">
      <alignment vertical="center" wrapText="1"/>
    </xf>
    <xf numFmtId="0" fontId="17" fillId="9" borderId="1" xfId="7" applyFont="1" applyFill="1" applyBorder="1" applyAlignment="1">
      <alignment vertical="center" wrapText="1"/>
    </xf>
    <xf numFmtId="4" fontId="34" fillId="9" borderId="1" xfId="0" applyNumberFormat="1" applyFont="1" applyFill="1" applyBorder="1" applyAlignment="1" applyProtection="1">
      <alignment horizontal="center"/>
    </xf>
    <xf numFmtId="4" fontId="5" fillId="0" borderId="1" xfId="0" applyNumberFormat="1" applyFont="1" applyBorder="1" applyAlignment="1">
      <alignment horizontal="center"/>
    </xf>
    <xf numFmtId="0" fontId="17" fillId="2" borderId="1" xfId="7" applyFont="1" applyFill="1" applyBorder="1" applyAlignment="1">
      <alignment vertical="center" wrapText="1"/>
    </xf>
    <xf numFmtId="0" fontId="17" fillId="2" borderId="1" xfId="7" applyFont="1" applyFill="1" applyBorder="1" applyAlignment="1">
      <alignment vertical="center"/>
    </xf>
    <xf numFmtId="0" fontId="115" fillId="2" borderId="1" xfId="7" applyFont="1" applyFill="1" applyBorder="1" applyAlignment="1">
      <alignment vertical="center" wrapText="1"/>
    </xf>
    <xf numFmtId="0" fontId="33" fillId="2" borderId="1" xfId="7" applyFont="1" applyFill="1" applyBorder="1" applyAlignment="1">
      <alignment horizontal="left" vertical="center" wrapText="1"/>
    </xf>
    <xf numFmtId="0" fontId="6" fillId="9" borderId="1" xfId="6" applyFont="1" applyFill="1" applyBorder="1" applyAlignment="1">
      <alignment horizontal="center" vertical="center" wrapText="1"/>
    </xf>
    <xf numFmtId="0" fontId="114" fillId="0" borderId="0" xfId="0" applyFont="1" applyFill="1"/>
    <xf numFmtId="0" fontId="113" fillId="0" borderId="0" xfId="0" applyFont="1" applyFill="1"/>
    <xf numFmtId="0" fontId="116" fillId="0" borderId="0" xfId="0" applyFont="1"/>
    <xf numFmtId="0" fontId="108" fillId="0" borderId="0" xfId="0" applyFont="1"/>
    <xf numFmtId="0" fontId="119" fillId="0" borderId="0" xfId="0" applyFont="1"/>
    <xf numFmtId="0" fontId="7" fillId="0" borderId="1" xfId="8" applyFont="1" applyFill="1" applyBorder="1" applyAlignment="1">
      <alignment horizontal="left" wrapText="1"/>
    </xf>
    <xf numFmtId="0" fontId="111" fillId="0" borderId="0" xfId="0" applyFont="1" applyAlignment="1">
      <alignment horizontal="center"/>
    </xf>
    <xf numFmtId="0" fontId="112" fillId="0" borderId="1" xfId="0" applyFont="1" applyBorder="1"/>
    <xf numFmtId="0" fontId="7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112" fillId="0" borderId="0" xfId="0" applyFont="1" applyAlignment="1">
      <alignment horizontal="center"/>
    </xf>
    <xf numFmtId="0" fontId="111" fillId="0" borderId="1" xfId="0" applyFont="1" applyBorder="1" applyAlignment="1">
      <alignment horizontal="left"/>
    </xf>
    <xf numFmtId="0" fontId="111" fillId="0" borderId="0" xfId="0" applyFont="1" applyAlignment="1">
      <alignment horizontal="left"/>
    </xf>
    <xf numFmtId="0" fontId="112" fillId="0" borderId="1" xfId="0" applyFont="1" applyBorder="1" applyAlignment="1">
      <alignment horizontal="left"/>
    </xf>
    <xf numFmtId="0" fontId="28" fillId="0" borderId="0" xfId="12" applyFont="1" applyFill="1" applyBorder="1" applyAlignment="1">
      <alignment vertical="center" wrapText="1"/>
    </xf>
    <xf numFmtId="2" fontId="7" fillId="8" borderId="1" xfId="0" applyNumberFormat="1" applyFont="1" applyFill="1" applyBorder="1" applyAlignment="1">
      <alignment horizontal="center"/>
    </xf>
    <xf numFmtId="0" fontId="119" fillId="8" borderId="0" xfId="0" applyFont="1" applyFill="1"/>
    <xf numFmtId="0" fontId="66" fillId="0" borderId="0" xfId="0" applyFont="1"/>
    <xf numFmtId="0" fontId="66" fillId="0" borderId="0" xfId="0" applyFont="1" applyAlignment="1">
      <alignment horizontal="center"/>
    </xf>
    <xf numFmtId="4" fontId="66" fillId="0" borderId="0" xfId="0" applyNumberFormat="1" applyFont="1" applyAlignment="1">
      <alignment horizontal="center"/>
    </xf>
    <xf numFmtId="0" fontId="67" fillId="0" borderId="1" xfId="0" applyFont="1" applyBorder="1" applyAlignment="1">
      <alignment horizontal="right"/>
    </xf>
    <xf numFmtId="0" fontId="66" fillId="0" borderId="1" xfId="0" applyFont="1" applyBorder="1" applyAlignment="1">
      <alignment horizontal="center"/>
    </xf>
    <xf numFmtId="0" fontId="67" fillId="0" borderId="1" xfId="0" applyFont="1" applyBorder="1" applyAlignment="1"/>
    <xf numFmtId="0" fontId="67" fillId="0" borderId="1" xfId="0" applyFont="1" applyBorder="1" applyAlignment="1">
      <alignment horizontal="center"/>
    </xf>
    <xf numFmtId="0" fontId="5" fillId="8" borderId="1" xfId="0" applyFont="1" applyFill="1" applyBorder="1" applyAlignment="1"/>
    <xf numFmtId="4" fontId="66" fillId="0" borderId="1" xfId="0" applyNumberFormat="1" applyFont="1" applyBorder="1" applyAlignment="1">
      <alignment horizontal="center"/>
    </xf>
    <xf numFmtId="4" fontId="66" fillId="0" borderId="1" xfId="0" applyNumberFormat="1" applyFont="1" applyFill="1" applyBorder="1" applyAlignment="1">
      <alignment horizontal="center"/>
    </xf>
    <xf numFmtId="4" fontId="67" fillId="0" borderId="1" xfId="0" applyNumberFormat="1" applyFont="1" applyBorder="1" applyAlignment="1">
      <alignment horizontal="center"/>
    </xf>
    <xf numFmtId="0" fontId="6" fillId="8" borderId="1" xfId="0" applyFont="1" applyFill="1" applyBorder="1" applyAlignment="1"/>
    <xf numFmtId="0" fontId="66" fillId="0" borderId="1" xfId="0" applyFont="1" applyBorder="1"/>
    <xf numFmtId="0" fontId="120" fillId="0" borderId="0" xfId="0" applyFont="1"/>
    <xf numFmtId="0" fontId="75" fillId="0" borderId="0" xfId="0" applyFont="1" applyAlignment="1">
      <alignment horizontal="left"/>
    </xf>
    <xf numFmtId="0" fontId="75" fillId="0" borderId="1" xfId="0" applyFont="1" applyBorder="1" applyAlignment="1">
      <alignment horizontal="left"/>
    </xf>
    <xf numFmtId="0" fontId="75" fillId="8" borderId="1" xfId="0" applyFont="1" applyFill="1" applyBorder="1" applyAlignment="1">
      <alignment horizontal="left"/>
    </xf>
    <xf numFmtId="0" fontId="75" fillId="0" borderId="1" xfId="2" applyFont="1" applyBorder="1" applyAlignment="1" applyProtection="1">
      <alignment horizontal="left" wrapText="1"/>
    </xf>
    <xf numFmtId="0" fontId="75" fillId="0" borderId="1" xfId="2" applyFont="1" applyBorder="1" applyAlignment="1" applyProtection="1">
      <alignment horizontal="left"/>
    </xf>
    <xf numFmtId="0" fontId="75" fillId="0" borderId="1" xfId="2" applyFont="1" applyFill="1" applyBorder="1" applyAlignment="1" applyProtection="1">
      <alignment horizontal="left"/>
    </xf>
    <xf numFmtId="0" fontId="75" fillId="0" borderId="1" xfId="2" applyFont="1" applyFill="1" applyBorder="1" applyAlignment="1" applyProtection="1">
      <alignment horizontal="left" wrapText="1"/>
    </xf>
    <xf numFmtId="0" fontId="75" fillId="0" borderId="1" xfId="0" applyFont="1" applyBorder="1"/>
    <xf numFmtId="0" fontId="75" fillId="0" borderId="1" xfId="2" applyFont="1" applyBorder="1" applyAlignment="1" applyProtection="1">
      <alignment wrapText="1"/>
    </xf>
    <xf numFmtId="4" fontId="7" fillId="0" borderId="1" xfId="0" applyNumberFormat="1" applyFont="1" applyFill="1" applyBorder="1" applyAlignment="1">
      <alignment horizontal="center" vertical="center"/>
    </xf>
    <xf numFmtId="0" fontId="71" fillId="0" borderId="1" xfId="0" applyFont="1" applyBorder="1" applyAlignment="1">
      <alignment horizontal="left"/>
    </xf>
    <xf numFmtId="0" fontId="5" fillId="0" borderId="0" xfId="6" applyFont="1" applyFill="1" applyAlignment="1">
      <alignment vertical="center"/>
    </xf>
    <xf numFmtId="3" fontId="6" fillId="0" borderId="0" xfId="6" applyNumberFormat="1" applyFont="1" applyAlignment="1">
      <alignment vertical="center"/>
    </xf>
    <xf numFmtId="0" fontId="12" fillId="10" borderId="1" xfId="0" applyFont="1" applyFill="1" applyBorder="1" applyAlignment="1">
      <alignment wrapText="1"/>
    </xf>
    <xf numFmtId="0" fontId="77" fillId="10" borderId="1" xfId="0" applyFont="1" applyFill="1" applyBorder="1" applyAlignment="1">
      <alignment horizontal="left"/>
    </xf>
    <xf numFmtId="0" fontId="77" fillId="10" borderId="1" xfId="0" applyFont="1" applyFill="1" applyBorder="1" applyAlignment="1">
      <alignment horizontal="center"/>
    </xf>
    <xf numFmtId="2" fontId="77" fillId="10" borderId="1" xfId="0" applyNumberFormat="1" applyFont="1" applyFill="1" applyBorder="1" applyAlignment="1">
      <alignment horizontal="center"/>
    </xf>
    <xf numFmtId="0" fontId="0" fillId="10" borderId="0" xfId="0" applyFill="1"/>
    <xf numFmtId="4" fontId="77" fillId="0" borderId="0" xfId="0" applyNumberFormat="1" applyFont="1" applyAlignment="1">
      <alignment horizontal="center"/>
    </xf>
    <xf numFmtId="4" fontId="0" fillId="0" borderId="0" xfId="0" applyNumberFormat="1"/>
    <xf numFmtId="0" fontId="6" fillId="0" borderId="0" xfId="6" applyFont="1" applyFill="1" applyAlignment="1">
      <alignment vertical="center"/>
    </xf>
    <xf numFmtId="3" fontId="5" fillId="0" borderId="0" xfId="6" applyNumberFormat="1" applyFont="1" applyAlignment="1">
      <alignment vertical="center"/>
    </xf>
    <xf numFmtId="3" fontId="66" fillId="0" borderId="1" xfId="0" applyNumberFormat="1" applyFont="1" applyBorder="1" applyAlignment="1">
      <alignment horizontal="center"/>
    </xf>
    <xf numFmtId="3" fontId="67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0" xfId="6" applyFont="1" applyBorder="1"/>
    <xf numFmtId="0" fontId="4" fillId="0" borderId="0" xfId="6" applyFont="1"/>
    <xf numFmtId="0" fontId="4" fillId="0" borderId="0" xfId="6" applyFont="1" applyBorder="1" applyAlignment="1">
      <alignment horizontal="center" vertical="center"/>
    </xf>
    <xf numFmtId="0" fontId="4" fillId="0" borderId="0" xfId="6" applyFont="1" applyBorder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3" xfId="6" applyFont="1" applyBorder="1" applyAlignment="1">
      <alignment horizontal="center"/>
    </xf>
    <xf numFmtId="0" fontId="4" fillId="0" borderId="1" xfId="6" applyFont="1" applyBorder="1" applyAlignment="1">
      <alignment horizontal="center" vertical="center"/>
    </xf>
    <xf numFmtId="0" fontId="12" fillId="0" borderId="1" xfId="6" applyFont="1" applyBorder="1" applyAlignment="1">
      <alignment vertical="center"/>
    </xf>
    <xf numFmtId="0" fontId="4" fillId="0" borderId="1" xfId="6" applyFont="1" applyBorder="1" applyAlignment="1">
      <alignment horizontal="left" vertical="center" wrapText="1"/>
    </xf>
    <xf numFmtId="49" fontId="4" fillId="0" borderId="1" xfId="6" applyNumberFormat="1" applyFont="1" applyBorder="1" applyAlignment="1">
      <alignment horizontal="center"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12" fillId="0" borderId="0" xfId="6" applyFont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 shrinkToFit="1"/>
    </xf>
    <xf numFmtId="3" fontId="12" fillId="0" borderId="1" xfId="6" quotePrefix="1" applyNumberFormat="1" applyFont="1" applyBorder="1" applyAlignment="1">
      <alignment horizontal="center" vertical="center"/>
    </xf>
    <xf numFmtId="4" fontId="12" fillId="7" borderId="1" xfId="6" applyNumberFormat="1" applyFont="1" applyFill="1" applyBorder="1" applyAlignment="1">
      <alignment horizontal="center" vertical="center" wrapText="1"/>
    </xf>
    <xf numFmtId="3" fontId="12" fillId="7" borderId="1" xfId="6" applyNumberFormat="1" applyFont="1" applyFill="1" applyBorder="1" applyAlignment="1">
      <alignment horizontal="center" vertical="center" wrapText="1"/>
    </xf>
    <xf numFmtId="3" fontId="12" fillId="0" borderId="1" xfId="6" applyNumberFormat="1" applyFont="1" applyBorder="1" applyAlignment="1">
      <alignment horizontal="center" vertical="center" wrapText="1"/>
    </xf>
    <xf numFmtId="4" fontId="12" fillId="0" borderId="1" xfId="6" applyNumberFormat="1" applyFont="1" applyBorder="1" applyAlignment="1">
      <alignment horizontal="center" vertical="center" wrapText="1"/>
    </xf>
    <xf numFmtId="4" fontId="4" fillId="0" borderId="1" xfId="6" applyNumberFormat="1" applyFont="1" applyBorder="1" applyAlignment="1">
      <alignment horizontal="left" vertical="center" wrapText="1" indent="2"/>
    </xf>
    <xf numFmtId="3" fontId="4" fillId="0" borderId="1" xfId="6" quotePrefix="1" applyNumberFormat="1" applyFont="1" applyBorder="1" applyAlignment="1">
      <alignment horizontal="center" vertical="center"/>
    </xf>
    <xf numFmtId="4" fontId="4" fillId="7" borderId="1" xfId="6" applyNumberFormat="1" applyFont="1" applyFill="1" applyBorder="1" applyAlignment="1">
      <alignment horizontal="center" vertical="center" wrapText="1"/>
    </xf>
    <xf numFmtId="3" fontId="4" fillId="7" borderId="1" xfId="6" applyNumberFormat="1" applyFont="1" applyFill="1" applyBorder="1" applyAlignment="1">
      <alignment horizontal="center" vertical="center" wrapText="1"/>
    </xf>
    <xf numFmtId="3" fontId="4" fillId="0" borderId="1" xfId="6" applyNumberFormat="1" applyFont="1" applyBorder="1" applyAlignment="1">
      <alignment horizontal="center" vertical="center" wrapText="1"/>
    </xf>
    <xf numFmtId="3" fontId="4" fillId="0" borderId="1" xfId="6" applyNumberFormat="1" applyFont="1" applyBorder="1" applyAlignment="1">
      <alignment horizontal="center" vertical="center"/>
    </xf>
    <xf numFmtId="4" fontId="4" fillId="0" borderId="1" xfId="6" applyNumberFormat="1" applyFont="1" applyFill="1" applyBorder="1" applyAlignment="1">
      <alignment horizontal="left" vertical="center" wrapText="1" indent="2"/>
    </xf>
    <xf numFmtId="3" fontId="4" fillId="0" borderId="1" xfId="6" applyNumberFormat="1" applyFont="1" applyFill="1" applyBorder="1" applyAlignment="1">
      <alignment horizontal="center" vertical="center"/>
    </xf>
    <xf numFmtId="4" fontId="4" fillId="0" borderId="1" xfId="6" applyNumberFormat="1" applyFont="1" applyFill="1" applyBorder="1" applyAlignment="1">
      <alignment horizontal="center" vertical="center" wrapText="1"/>
    </xf>
    <xf numFmtId="3" fontId="4" fillId="0" borderId="1" xfId="6" applyNumberFormat="1" applyFont="1" applyFill="1" applyBorder="1" applyAlignment="1">
      <alignment horizontal="center" vertical="center" wrapText="1"/>
    </xf>
    <xf numFmtId="4" fontId="12" fillId="0" borderId="1" xfId="6" applyNumberFormat="1" applyFont="1" applyFill="1" applyBorder="1" applyAlignment="1">
      <alignment horizontal="left" vertical="center" wrapText="1"/>
    </xf>
    <xf numFmtId="3" fontId="12" fillId="0" borderId="1" xfId="6" applyNumberFormat="1" applyFont="1" applyFill="1" applyBorder="1" applyAlignment="1">
      <alignment horizontal="center" vertical="center"/>
    </xf>
    <xf numFmtId="4" fontId="12" fillId="0" borderId="1" xfId="6" applyNumberFormat="1" applyFont="1" applyFill="1" applyBorder="1" applyAlignment="1">
      <alignment horizontal="center" vertical="center" wrapText="1"/>
    </xf>
    <xf numFmtId="3" fontId="12" fillId="0" borderId="1" xfId="6" applyNumberFormat="1" applyFont="1" applyFill="1" applyBorder="1" applyAlignment="1">
      <alignment horizontal="center" vertical="center" wrapText="1"/>
    </xf>
    <xf numFmtId="4" fontId="12" fillId="0" borderId="1" xfId="6" applyNumberFormat="1" applyFont="1" applyBorder="1" applyAlignment="1">
      <alignment vertical="center"/>
    </xf>
    <xf numFmtId="4" fontId="12" fillId="0" borderId="1" xfId="6" applyNumberFormat="1" applyFont="1" applyBorder="1" applyAlignment="1">
      <alignment horizontal="left" vertical="center" wrapText="1" indent="2"/>
    </xf>
    <xf numFmtId="0" fontId="4" fillId="0" borderId="1" xfId="6" quotePrefix="1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 indent="2"/>
    </xf>
    <xf numFmtId="0" fontId="4" fillId="0" borderId="1" xfId="6" quotePrefix="1" applyFont="1" applyBorder="1" applyAlignment="1">
      <alignment horizontal="center" vertical="center"/>
    </xf>
    <xf numFmtId="4" fontId="4" fillId="0" borderId="1" xfId="6" applyNumberFormat="1" applyFont="1" applyBorder="1" applyAlignment="1">
      <alignment horizontal="center" vertical="center" wrapText="1"/>
    </xf>
    <xf numFmtId="0" fontId="12" fillId="0" borderId="1" xfId="6" quotePrefix="1" applyFont="1" applyBorder="1" applyAlignment="1">
      <alignment horizontal="center" vertical="center"/>
    </xf>
    <xf numFmtId="0" fontId="4" fillId="0" borderId="0" xfId="6" applyFont="1" applyAlignment="1">
      <alignment horizontal="left" vertical="center" wrapText="1"/>
    </xf>
    <xf numFmtId="0" fontId="4" fillId="0" borderId="0" xfId="6" quotePrefix="1" applyFont="1" applyAlignment="1">
      <alignment horizontal="center" vertical="center"/>
    </xf>
    <xf numFmtId="164" fontId="4" fillId="0" borderId="0" xfId="6" applyNumberFormat="1" applyFont="1" applyAlignment="1">
      <alignment horizontal="center" vertical="center" wrapText="1"/>
    </xf>
    <xf numFmtId="165" fontId="4" fillId="0" borderId="0" xfId="6" applyNumberFormat="1" applyFont="1" applyAlignment="1">
      <alignment horizontal="center" vertical="center" wrapText="1"/>
    </xf>
    <xf numFmtId="165" fontId="4" fillId="0" borderId="0" xfId="6" applyNumberFormat="1" applyFont="1" applyAlignment="1">
      <alignment horizontal="right" vertical="center" wrapText="1"/>
    </xf>
    <xf numFmtId="0" fontId="4" fillId="0" borderId="0" xfId="6" applyFont="1" applyAlignment="1">
      <alignment vertical="center" wrapText="1"/>
    </xf>
    <xf numFmtId="0" fontId="40" fillId="0" borderId="0" xfId="6" applyFont="1" applyAlignment="1">
      <alignment horizontal="left" vertical="center" wrapText="1"/>
    </xf>
    <xf numFmtId="0" fontId="41" fillId="0" borderId="0" xfId="6" applyFont="1" applyAlignment="1">
      <alignment horizontal="left" vertical="center"/>
    </xf>
    <xf numFmtId="0" fontId="41" fillId="0" borderId="0" xfId="6" applyFont="1" applyAlignment="1">
      <alignment vertical="center"/>
    </xf>
    <xf numFmtId="0" fontId="40" fillId="0" borderId="0" xfId="6" applyFont="1" applyAlignment="1">
      <alignment horizontal="center" vertical="center"/>
    </xf>
    <xf numFmtId="165" fontId="40" fillId="0" borderId="0" xfId="6" applyNumberFormat="1" applyFont="1" applyAlignment="1">
      <alignment horizontal="center" vertical="center" wrapText="1"/>
    </xf>
    <xf numFmtId="165" fontId="40" fillId="0" borderId="0" xfId="6" applyNumberFormat="1" applyFont="1" applyAlignment="1">
      <alignment horizontal="right" vertical="center" wrapText="1"/>
    </xf>
    <xf numFmtId="0" fontId="40" fillId="0" borderId="0" xfId="6" quotePrefix="1" applyFont="1" applyAlignment="1">
      <alignment horizontal="center" vertical="center"/>
    </xf>
    <xf numFmtId="165" fontId="81" fillId="0" borderId="0" xfId="6" applyNumberFormat="1" applyFont="1" applyAlignment="1">
      <alignment vertical="center"/>
    </xf>
    <xf numFmtId="0" fontId="40" fillId="0" borderId="0" xfId="6" applyFont="1" applyAlignment="1">
      <alignment horizontal="left" vertical="center"/>
    </xf>
    <xf numFmtId="0" fontId="40" fillId="0" borderId="0" xfId="6" applyFont="1" applyAlignment="1">
      <alignment vertical="center"/>
    </xf>
    <xf numFmtId="0" fontId="41" fillId="0" borderId="0" xfId="6" applyFont="1"/>
    <xf numFmtId="0" fontId="41" fillId="0" borderId="0" xfId="6" applyFont="1" applyBorder="1" applyAlignment="1">
      <alignment vertical="center"/>
    </xf>
    <xf numFmtId="0" fontId="41" fillId="0" borderId="2" xfId="6" applyFont="1" applyBorder="1"/>
    <xf numFmtId="0" fontId="41" fillId="0" borderId="2" xfId="6" applyFont="1" applyBorder="1" applyAlignment="1">
      <alignment vertical="center"/>
    </xf>
    <xf numFmtId="0" fontId="40" fillId="0" borderId="2" xfId="6" applyFont="1" applyBorder="1" applyAlignment="1">
      <alignment horizontal="left"/>
    </xf>
    <xf numFmtId="0" fontId="119" fillId="7" borderId="0" xfId="0" applyFont="1" applyFill="1"/>
    <xf numFmtId="0" fontId="37" fillId="7" borderId="0" xfId="0" applyFont="1" applyFill="1"/>
    <xf numFmtId="0" fontId="7" fillId="7" borderId="1" xfId="0" quotePrefix="1" applyFont="1" applyFill="1" applyBorder="1" applyAlignment="1">
      <alignment vertical="top" wrapText="1"/>
    </xf>
    <xf numFmtId="2" fontId="7" fillId="7" borderId="1" xfId="0" applyNumberFormat="1" applyFont="1" applyFill="1" applyBorder="1" applyAlignment="1">
      <alignment horizontal="center" vertical="top"/>
    </xf>
    <xf numFmtId="0" fontId="108" fillId="0" borderId="0" xfId="0" applyFont="1" applyAlignment="1">
      <alignment horizontal="right"/>
    </xf>
    <xf numFmtId="0" fontId="108" fillId="0" borderId="0" xfId="0" applyFont="1" applyAlignment="1">
      <alignment horizontal="left"/>
    </xf>
    <xf numFmtId="0" fontId="121" fillId="7" borderId="1" xfId="0" applyFont="1" applyFill="1" applyBorder="1" applyAlignment="1">
      <alignment horizontal="left"/>
    </xf>
    <xf numFmtId="0" fontId="121" fillId="7" borderId="1" xfId="0" applyFont="1" applyFill="1" applyBorder="1" applyAlignment="1">
      <alignment horizontal="right" wrapText="1" indent="1"/>
    </xf>
    <xf numFmtId="0" fontId="39" fillId="8" borderId="0" xfId="0" applyFont="1" applyFill="1"/>
    <xf numFmtId="0" fontId="7" fillId="8" borderId="1" xfId="0" quotePrefix="1" applyFont="1" applyFill="1" applyBorder="1" applyAlignment="1">
      <alignment vertical="top" wrapText="1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right"/>
    </xf>
    <xf numFmtId="0" fontId="7" fillId="8" borderId="1" xfId="0" applyFont="1" applyFill="1" applyBorder="1" applyAlignment="1">
      <alignment horizontal="center"/>
    </xf>
    <xf numFmtId="0" fontId="37" fillId="8" borderId="0" xfId="0" applyFont="1" applyFill="1"/>
    <xf numFmtId="2" fontId="7" fillId="8" borderId="1" xfId="0" applyNumberFormat="1" applyFont="1" applyFill="1" applyBorder="1" applyAlignment="1">
      <alignment horizontal="center" vertical="top"/>
    </xf>
    <xf numFmtId="0" fontId="7" fillId="8" borderId="1" xfId="0" applyFont="1" applyFill="1" applyBorder="1" applyAlignment="1">
      <alignment vertical="top" wrapText="1"/>
    </xf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0" fontId="28" fillId="0" borderId="0" xfId="0" applyFont="1" applyFill="1" applyBorder="1" applyAlignment="1">
      <alignment wrapText="1"/>
    </xf>
    <xf numFmtId="0" fontId="82" fillId="0" borderId="0" xfId="2" applyFont="1" applyFill="1" applyAlignment="1" applyProtection="1">
      <alignment horizontal="left"/>
    </xf>
    <xf numFmtId="0" fontId="28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174" fontId="28" fillId="0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99" fillId="0" borderId="0" xfId="0" applyFont="1" applyFill="1" applyAlignment="1">
      <alignment horizontal="center"/>
    </xf>
    <xf numFmtId="2" fontId="37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top"/>
    </xf>
    <xf numFmtId="2" fontId="7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125" fillId="0" borderId="0" xfId="0" applyFont="1" applyFill="1"/>
    <xf numFmtId="0" fontId="126" fillId="0" borderId="0" xfId="0" applyFont="1" applyFill="1"/>
    <xf numFmtId="0" fontId="125" fillId="0" borderId="0" xfId="0" applyFont="1" applyFill="1" applyAlignment="1">
      <alignment horizontal="center"/>
    </xf>
    <xf numFmtId="0" fontId="39" fillId="0" borderId="1" xfId="0" applyFont="1" applyFill="1" applyBorder="1" applyAlignment="1">
      <alignment horizontal="center" wrapText="1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127" fillId="0" borderId="0" xfId="0" applyFont="1" applyFill="1"/>
    <xf numFmtId="0" fontId="127" fillId="0" borderId="0" xfId="0" applyFont="1" applyFill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28" fillId="0" borderId="1" xfId="0" applyFont="1" applyFill="1" applyBorder="1" applyAlignment="1"/>
    <xf numFmtId="0" fontId="28" fillId="0" borderId="1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4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Alignment="1"/>
    <xf numFmtId="0" fontId="28" fillId="0" borderId="1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6" fillId="0" borderId="0" xfId="0" applyFont="1" applyFill="1"/>
    <xf numFmtId="0" fontId="67" fillId="0" borderId="0" xfId="0" applyFont="1" applyFill="1" applyAlignment="1">
      <alignment horizontal="center"/>
    </xf>
    <xf numFmtId="0" fontId="66" fillId="0" borderId="1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0" fontId="66" fillId="0" borderId="4" xfId="0" applyFont="1" applyFill="1" applyBorder="1" applyAlignment="1">
      <alignment horizontal="left" wrapText="1"/>
    </xf>
    <xf numFmtId="4" fontId="28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66" fillId="0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73" fillId="0" borderId="0" xfId="2" applyFont="1" applyFill="1" applyAlignment="1" applyProtection="1"/>
    <xf numFmtId="0" fontId="7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wrapText="1"/>
    </xf>
    <xf numFmtId="1" fontId="7" fillId="0" borderId="1" xfId="0" applyNumberFormat="1" applyFont="1" applyFill="1" applyBorder="1" applyAlignment="1">
      <alignment horizontal="center" vertical="center"/>
    </xf>
    <xf numFmtId="0" fontId="82" fillId="0" borderId="0" xfId="2" applyFont="1" applyFill="1" applyAlignment="1" applyProtection="1"/>
    <xf numFmtId="1" fontId="7" fillId="0" borderId="1" xfId="0" applyNumberFormat="1" applyFont="1" applyFill="1" applyBorder="1" applyAlignment="1">
      <alignment horizontal="center" wrapText="1"/>
    </xf>
    <xf numFmtId="0" fontId="66" fillId="0" borderId="0" xfId="0" applyFont="1" applyFill="1" applyAlignment="1">
      <alignment horizontal="center"/>
    </xf>
    <xf numFmtId="0" fontId="28" fillId="0" borderId="0" xfId="6" applyFont="1" applyFill="1" applyBorder="1" applyAlignment="1">
      <alignment vertical="center" wrapText="1"/>
    </xf>
    <xf numFmtId="0" fontId="66" fillId="0" borderId="1" xfId="0" applyFont="1" applyFill="1" applyBorder="1" applyAlignment="1">
      <alignment horizontal="center" wrapText="1"/>
    </xf>
    <xf numFmtId="0" fontId="66" fillId="0" borderId="1" xfId="0" applyFont="1" applyFill="1" applyBorder="1" applyAlignment="1">
      <alignment horizontal="center"/>
    </xf>
    <xf numFmtId="4" fontId="37" fillId="0" borderId="1" xfId="6" applyNumberFormat="1" applyFont="1" applyFill="1" applyBorder="1" applyAlignment="1">
      <alignment horizontal="center"/>
    </xf>
    <xf numFmtId="0" fontId="28" fillId="0" borderId="0" xfId="0" applyFont="1" applyFill="1"/>
    <xf numFmtId="0" fontId="66" fillId="0" borderId="4" xfId="0" applyFont="1" applyFill="1" applyBorder="1" applyAlignment="1">
      <alignment wrapText="1"/>
    </xf>
    <xf numFmtId="0" fontId="66" fillId="0" borderId="4" xfId="0" applyFont="1" applyFill="1" applyBorder="1" applyAlignment="1">
      <alignment horizontal="center" wrapText="1"/>
    </xf>
    <xf numFmtId="0" fontId="66" fillId="0" borderId="4" xfId="0" applyFont="1" applyFill="1" applyBorder="1" applyAlignment="1">
      <alignment horizontal="center"/>
    </xf>
    <xf numFmtId="0" fontId="28" fillId="0" borderId="1" xfId="0" applyFont="1" applyFill="1" applyBorder="1"/>
    <xf numFmtId="0" fontId="7" fillId="0" borderId="1" xfId="0" applyFont="1" applyFill="1" applyBorder="1"/>
    <xf numFmtId="4" fontId="7" fillId="0" borderId="1" xfId="6" applyNumberFormat="1" applyFont="1" applyFill="1" applyBorder="1" applyAlignment="1">
      <alignment horizontal="center" wrapText="1"/>
    </xf>
    <xf numFmtId="0" fontId="7" fillId="0" borderId="1" xfId="9" applyFont="1" applyFill="1" applyBorder="1" applyAlignment="1">
      <alignment wrapText="1"/>
    </xf>
    <xf numFmtId="0" fontId="7" fillId="0" borderId="1" xfId="6" applyFont="1" applyFill="1" applyBorder="1" applyAlignment="1">
      <alignment horizontal="left" wrapText="1"/>
    </xf>
    <xf numFmtId="0" fontId="7" fillId="0" borderId="1" xfId="9" applyFont="1" applyFill="1" applyBorder="1" applyAlignment="1">
      <alignment horizontal="center" wrapText="1"/>
    </xf>
    <xf numFmtId="4" fontId="66" fillId="0" borderId="0" xfId="0" applyNumberFormat="1" applyFont="1" applyFill="1"/>
    <xf numFmtId="0" fontId="82" fillId="0" borderId="0" xfId="2" applyFont="1" applyFill="1" applyAlignment="1" applyProtection="1">
      <alignment horizontal="left" wrapText="1"/>
    </xf>
    <xf numFmtId="0" fontId="7" fillId="0" borderId="1" xfId="6" applyFont="1" applyFill="1" applyBorder="1" applyAlignment="1">
      <alignment horizontal="center" vertical="center" wrapText="1"/>
    </xf>
    <xf numFmtId="0" fontId="129" fillId="0" borderId="0" xfId="0" applyFont="1" applyFill="1" applyAlignment="1">
      <alignment horizontal="left" wrapText="1"/>
    </xf>
    <xf numFmtId="0" fontId="76" fillId="0" borderId="0" xfId="2" applyFont="1" applyFill="1" applyBorder="1" applyAlignment="1" applyProtection="1">
      <alignment wrapText="1"/>
    </xf>
    <xf numFmtId="4" fontId="7" fillId="0" borderId="1" xfId="6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wrapText="1"/>
    </xf>
    <xf numFmtId="49" fontId="7" fillId="0" borderId="1" xfId="0" quotePrefix="1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 indent="1"/>
    </xf>
    <xf numFmtId="0" fontId="130" fillId="0" borderId="0" xfId="2" applyFont="1" applyFill="1" applyAlignment="1" applyProtection="1"/>
    <xf numFmtId="0" fontId="7" fillId="0" borderId="0" xfId="0" applyFont="1" applyFill="1" applyBorder="1" applyAlignment="1">
      <alignment horizontal="right" indent="1"/>
    </xf>
    <xf numFmtId="0" fontId="7" fillId="0" borderId="0" xfId="0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center" vertical="top" wrapText="1"/>
    </xf>
    <xf numFmtId="4" fontId="28" fillId="0" borderId="1" xfId="0" applyNumberFormat="1" applyFont="1" applyFill="1" applyBorder="1" applyAlignment="1">
      <alignment horizontal="center" vertical="top" wrapText="1"/>
    </xf>
    <xf numFmtId="0" fontId="7" fillId="0" borderId="1" xfId="2" applyFont="1" applyBorder="1" applyAlignment="1" applyProtection="1">
      <alignment wrapText="1"/>
    </xf>
    <xf numFmtId="0" fontId="131" fillId="0" borderId="1" xfId="6" applyFont="1" applyFill="1" applyBorder="1" applyAlignment="1">
      <alignment vertical="center" wrapText="1"/>
    </xf>
    <xf numFmtId="0" fontId="39" fillId="0" borderId="1" xfId="6" applyFont="1" applyFill="1" applyBorder="1" applyAlignment="1">
      <alignment vertical="center" wrapText="1"/>
    </xf>
    <xf numFmtId="0" fontId="66" fillId="0" borderId="1" xfId="2" applyFont="1" applyFill="1" applyBorder="1" applyAlignment="1" applyProtection="1">
      <alignment horizontal="left" wrapText="1"/>
    </xf>
    <xf numFmtId="0" fontId="39" fillId="0" borderId="1" xfId="2" applyFont="1" applyFill="1" applyBorder="1" applyAlignment="1" applyProtection="1">
      <alignment wrapText="1"/>
    </xf>
    <xf numFmtId="0" fontId="37" fillId="0" borderId="1" xfId="0" applyFont="1" applyFill="1" applyBorder="1" applyAlignment="1"/>
    <xf numFmtId="0" fontId="37" fillId="0" borderId="0" xfId="0" applyFont="1" applyFill="1" applyAlignment="1"/>
    <xf numFmtId="0" fontId="37" fillId="0" borderId="0" xfId="0" applyFont="1" applyFill="1" applyAlignment="1">
      <alignment horizontal="left"/>
    </xf>
    <xf numFmtId="4" fontId="39" fillId="0" borderId="0" xfId="0" applyNumberFormat="1" applyFont="1" applyFill="1" applyAlignment="1">
      <alignment horizontal="center"/>
    </xf>
    <xf numFmtId="0" fontId="111" fillId="0" borderId="0" xfId="0" applyFont="1" applyAlignment="1"/>
    <xf numFmtId="0" fontId="0" fillId="0" borderId="0" xfId="0" applyAlignment="1">
      <alignment horizontal="center"/>
    </xf>
    <xf numFmtId="0" fontId="66" fillId="0" borderId="1" xfId="2" applyFont="1" applyFill="1" applyBorder="1" applyAlignment="1" applyProtection="1">
      <alignment wrapText="1"/>
    </xf>
    <xf numFmtId="0" fontId="5" fillId="8" borderId="1" xfId="7" applyFont="1" applyFill="1" applyBorder="1" applyAlignment="1">
      <alignment vertical="center" wrapText="1"/>
    </xf>
    <xf numFmtId="4" fontId="33" fillId="8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0" fontId="108" fillId="0" borderId="1" xfId="0" applyFont="1" applyBorder="1"/>
    <xf numFmtId="0" fontId="108" fillId="0" borderId="1" xfId="0" applyFont="1" applyBorder="1" applyAlignment="1">
      <alignment horizontal="left"/>
    </xf>
    <xf numFmtId="0" fontId="108" fillId="0" borderId="1" xfId="0" applyFont="1" applyBorder="1" applyAlignment="1">
      <alignment horizontal="right"/>
    </xf>
    <xf numFmtId="0" fontId="111" fillId="0" borderId="1" xfId="0" applyFont="1" applyBorder="1" applyAlignment="1">
      <alignment horizontal="right"/>
    </xf>
    <xf numFmtId="0" fontId="11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108" fillId="0" borderId="1" xfId="0" applyFont="1" applyBorder="1" applyAlignment="1">
      <alignment horizontal="center"/>
    </xf>
    <xf numFmtId="0" fontId="112" fillId="0" borderId="1" xfId="0" applyFont="1" applyBorder="1" applyAlignment="1">
      <alignment horizontal="right"/>
    </xf>
    <xf numFmtId="3" fontId="33" fillId="7" borderId="1" xfId="0" applyNumberFormat="1" applyFont="1" applyFill="1" applyBorder="1" applyAlignment="1" applyProtection="1">
      <alignment horizontal="center"/>
      <protection locked="0"/>
    </xf>
    <xf numFmtId="3" fontId="33" fillId="2" borderId="1" xfId="0" applyNumberFormat="1" applyFont="1" applyFill="1" applyBorder="1" applyAlignment="1" applyProtection="1">
      <alignment horizontal="center"/>
      <protection locked="0"/>
    </xf>
    <xf numFmtId="3" fontId="5" fillId="0" borderId="1" xfId="0" applyNumberFormat="1" applyFont="1" applyBorder="1" applyAlignment="1">
      <alignment horizontal="center"/>
    </xf>
    <xf numFmtId="4" fontId="0" fillId="11" borderId="0" xfId="0" applyNumberFormat="1" applyFill="1"/>
    <xf numFmtId="0" fontId="80" fillId="8" borderId="0" xfId="0" applyFont="1" applyFill="1"/>
    <xf numFmtId="0" fontId="17" fillId="8" borderId="1" xfId="7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horizontal="center"/>
    </xf>
    <xf numFmtId="3" fontId="33" fillId="8" borderId="1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1" fontId="0" fillId="8" borderId="0" xfId="0" applyNumberFormat="1" applyFill="1"/>
    <xf numFmtId="4" fontId="5" fillId="8" borderId="1" xfId="0" applyNumberFormat="1" applyFont="1" applyFill="1" applyBorder="1" applyAlignment="1">
      <alignment horizontal="center"/>
    </xf>
    <xf numFmtId="0" fontId="17" fillId="8" borderId="1" xfId="7" applyFont="1" applyFill="1" applyBorder="1" applyAlignment="1">
      <alignment vertical="center" wrapText="1"/>
    </xf>
    <xf numFmtId="0" fontId="5" fillId="8" borderId="1" xfId="7" applyFont="1" applyFill="1" applyBorder="1" applyAlignment="1">
      <alignment horizontal="right" vertical="center" wrapText="1"/>
    </xf>
    <xf numFmtId="0" fontId="80" fillId="7" borderId="0" xfId="0" applyFont="1" applyFill="1"/>
    <xf numFmtId="0" fontId="5" fillId="7" borderId="1" xfId="7" applyFont="1" applyFill="1" applyBorder="1" applyAlignment="1">
      <alignment horizontal="right" vertical="center" wrapText="1"/>
    </xf>
    <xf numFmtId="4" fontId="33" fillId="7" borderId="1" xfId="0" applyNumberFormat="1" applyFont="1" applyFill="1" applyBorder="1" applyAlignment="1" applyProtection="1">
      <alignment horizontal="center"/>
      <protection locked="0"/>
    </xf>
    <xf numFmtId="0" fontId="0" fillId="7" borderId="0" xfId="0" applyFill="1"/>
    <xf numFmtId="4" fontId="4" fillId="0" borderId="1" xfId="6" applyNumberFormat="1" applyFont="1" applyFill="1" applyBorder="1" applyAlignment="1">
      <alignment horizontal="left" vertical="center" wrapText="1"/>
    </xf>
    <xf numFmtId="4" fontId="61" fillId="0" borderId="1" xfId="0" applyNumberFormat="1" applyFont="1" applyFill="1" applyBorder="1" applyAlignment="1" applyProtection="1">
      <alignment horizontal="center"/>
      <protection locked="0"/>
    </xf>
    <xf numFmtId="4" fontId="46" fillId="0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3" fontId="61" fillId="8" borderId="1" xfId="0" applyNumberFormat="1" applyFont="1" applyFill="1" applyBorder="1" applyAlignment="1" applyProtection="1">
      <alignment horizontal="center"/>
      <protection locked="0"/>
    </xf>
    <xf numFmtId="3" fontId="46" fillId="8" borderId="1" xfId="0" applyNumberFormat="1" applyFont="1" applyFill="1" applyBorder="1" applyAlignment="1" applyProtection="1">
      <alignment horizontal="center"/>
      <protection locked="0"/>
    </xf>
    <xf numFmtId="3" fontId="61" fillId="0" borderId="1" xfId="0" applyNumberFormat="1" applyFont="1" applyFill="1" applyBorder="1" applyAlignment="1" applyProtection="1">
      <alignment horizontal="center"/>
      <protection locked="0"/>
    </xf>
    <xf numFmtId="165" fontId="6" fillId="0" borderId="0" xfId="6" applyNumberFormat="1" applyFont="1" applyAlignment="1">
      <alignment vertical="center"/>
    </xf>
    <xf numFmtId="4" fontId="6" fillId="0" borderId="0" xfId="6" applyNumberFormat="1" applyFont="1" applyAlignment="1">
      <alignment vertical="center"/>
    </xf>
    <xf numFmtId="3" fontId="6" fillId="0" borderId="0" xfId="6" applyNumberFormat="1" applyFont="1" applyFill="1" applyAlignment="1">
      <alignment vertical="center"/>
    </xf>
    <xf numFmtId="3" fontId="5" fillId="0" borderId="0" xfId="6" applyNumberFormat="1" applyFont="1" applyFill="1" applyAlignment="1">
      <alignment vertical="center"/>
    </xf>
    <xf numFmtId="0" fontId="44" fillId="0" borderId="0" xfId="6" applyFont="1" applyAlignment="1">
      <alignment vertical="center"/>
    </xf>
    <xf numFmtId="0" fontId="44" fillId="0" borderId="1" xfId="6" applyFont="1" applyBorder="1" applyAlignment="1">
      <alignment vertical="center"/>
    </xf>
    <xf numFmtId="0" fontId="43" fillId="0" borderId="1" xfId="6" applyFont="1" applyBorder="1" applyAlignment="1">
      <alignment vertical="center"/>
    </xf>
    <xf numFmtId="3" fontId="43" fillId="0" borderId="1" xfId="6" applyNumberFormat="1" applyFont="1" applyBorder="1" applyAlignment="1">
      <alignment vertical="center"/>
    </xf>
    <xf numFmtId="3" fontId="132" fillId="0" borderId="0" xfId="6" applyNumberFormat="1" applyFont="1" applyAlignment="1">
      <alignment vertical="center"/>
    </xf>
    <xf numFmtId="4" fontId="4" fillId="0" borderId="1" xfId="6" applyNumberFormat="1" applyFont="1" applyBorder="1" applyAlignment="1">
      <alignment horizontal="right" vertical="center" wrapText="1" indent="2"/>
    </xf>
    <xf numFmtId="0" fontId="61" fillId="0" borderId="1" xfId="0" applyFont="1" applyFill="1" applyBorder="1" applyAlignment="1" applyProtection="1">
      <alignment horizontal="right" wrapText="1"/>
      <protection locked="0"/>
    </xf>
    <xf numFmtId="0" fontId="7" fillId="0" borderId="0" xfId="0" applyFont="1" applyFill="1" applyAlignment="1">
      <alignment horizontal="center" wrapText="1"/>
    </xf>
    <xf numFmtId="0" fontId="133" fillId="0" borderId="1" xfId="0" applyFont="1" applyBorder="1" applyAlignment="1">
      <alignment horizontal="left" wrapText="1"/>
    </xf>
    <xf numFmtId="0" fontId="134" fillId="0" borderId="1" xfId="2" applyFont="1" applyBorder="1" applyAlignment="1" applyProtection="1">
      <alignment horizontal="left" wrapText="1"/>
    </xf>
    <xf numFmtId="0" fontId="133" fillId="0" borderId="1" xfId="2" applyFont="1" applyBorder="1" applyAlignment="1" applyProtection="1"/>
    <xf numFmtId="0" fontId="134" fillId="0" borderId="1" xfId="2" applyFont="1" applyBorder="1" applyAlignment="1" applyProtection="1">
      <alignment horizontal="left"/>
    </xf>
    <xf numFmtId="0" fontId="134" fillId="0" borderId="1" xfId="2" applyFont="1" applyBorder="1" applyAlignment="1" applyProtection="1"/>
    <xf numFmtId="0" fontId="133" fillId="0" borderId="1" xfId="0" applyFont="1" applyFill="1" applyBorder="1" applyAlignment="1">
      <alignment horizontal="left"/>
    </xf>
    <xf numFmtId="0" fontId="31" fillId="0" borderId="0" xfId="12" applyFont="1" applyFill="1"/>
    <xf numFmtId="0" fontId="12" fillId="0" borderId="0" xfId="12" applyFont="1" applyFill="1"/>
    <xf numFmtId="0" fontId="37" fillId="0" borderId="0" xfId="0" applyFont="1" applyFill="1" applyBorder="1"/>
    <xf numFmtId="3" fontId="69" fillId="0" borderId="0" xfId="0" applyNumberFormat="1" applyFont="1" applyFill="1" applyBorder="1"/>
    <xf numFmtId="0" fontId="69" fillId="0" borderId="0" xfId="0" applyFont="1" applyFill="1" applyBorder="1"/>
    <xf numFmtId="3" fontId="68" fillId="0" borderId="0" xfId="0" applyNumberFormat="1" applyFont="1" applyFill="1" applyBorder="1"/>
    <xf numFmtId="0" fontId="68" fillId="0" borderId="0" xfId="0" applyFont="1" applyFill="1" applyBorder="1"/>
    <xf numFmtId="0" fontId="36" fillId="0" borderId="0" xfId="0" applyFont="1" applyFill="1" applyBorder="1"/>
    <xf numFmtId="4" fontId="37" fillId="0" borderId="0" xfId="0" applyNumberFormat="1" applyFont="1" applyFill="1" applyBorder="1"/>
    <xf numFmtId="4" fontId="66" fillId="0" borderId="1" xfId="0" applyNumberFormat="1" applyFont="1" applyFill="1" applyBorder="1" applyAlignment="1">
      <alignment horizontal="center" wrapText="1"/>
    </xf>
    <xf numFmtId="0" fontId="135" fillId="0" borderId="0" xfId="0" applyFont="1"/>
    <xf numFmtId="0" fontId="67" fillId="0" borderId="0" xfId="0" applyFont="1"/>
    <xf numFmtId="0" fontId="114" fillId="0" borderId="0" xfId="0" applyFont="1"/>
    <xf numFmtId="4" fontId="39" fillId="0" borderId="5" xfId="0" applyNumberFormat="1" applyFont="1" applyFill="1" applyBorder="1" applyAlignment="1">
      <alignment horizontal="center"/>
    </xf>
    <xf numFmtId="4" fontId="37" fillId="0" borderId="5" xfId="0" applyNumberFormat="1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0" fillId="0" borderId="1" xfId="0" applyBorder="1"/>
    <xf numFmtId="4" fontId="112" fillId="0" borderId="0" xfId="0" applyNumberFormat="1" applyFont="1" applyAlignment="1">
      <alignment horizontal="center"/>
    </xf>
    <xf numFmtId="0" fontId="66" fillId="0" borderId="1" xfId="0" applyFont="1" applyFill="1" applyBorder="1" applyAlignment="1">
      <alignment horizontal="left"/>
    </xf>
    <xf numFmtId="0" fontId="66" fillId="0" borderId="1" xfId="2" applyFont="1" applyBorder="1" applyAlignment="1" applyProtection="1">
      <alignment wrapText="1"/>
    </xf>
    <xf numFmtId="0" fontId="7" fillId="0" borderId="1" xfId="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110" fillId="0" borderId="0" xfId="0" applyFont="1" applyFill="1"/>
    <xf numFmtId="0" fontId="135" fillId="0" borderId="0" xfId="0" applyFont="1" applyFill="1"/>
    <xf numFmtId="0" fontId="77" fillId="0" borderId="1" xfId="0" applyFont="1" applyFill="1" applyBorder="1" applyAlignment="1">
      <alignment horizontal="left"/>
    </xf>
    <xf numFmtId="4" fontId="77" fillId="0" borderId="1" xfId="0" applyNumberFormat="1" applyFont="1" applyFill="1" applyBorder="1" applyAlignment="1">
      <alignment horizontal="center"/>
    </xf>
    <xf numFmtId="0" fontId="77" fillId="0" borderId="1" xfId="0" applyFont="1" applyFill="1" applyBorder="1" applyAlignment="1" applyProtection="1">
      <alignment horizontal="left"/>
    </xf>
    <xf numFmtId="2" fontId="77" fillId="0" borderId="1" xfId="0" applyNumberFormat="1" applyFont="1" applyFill="1" applyBorder="1" applyAlignment="1">
      <alignment horizontal="center"/>
    </xf>
    <xf numFmtId="0" fontId="77" fillId="0" borderId="1" xfId="2" applyFont="1" applyFill="1" applyBorder="1" applyAlignment="1" applyProtection="1"/>
    <xf numFmtId="0" fontId="77" fillId="0" borderId="1" xfId="0" applyFont="1" applyFill="1" applyBorder="1" applyAlignment="1" applyProtection="1">
      <alignment horizontal="center"/>
    </xf>
    <xf numFmtId="0" fontId="77" fillId="0" borderId="1" xfId="2" applyFont="1" applyFill="1" applyBorder="1" applyAlignment="1" applyProtection="1">
      <alignment horizontal="left"/>
    </xf>
    <xf numFmtId="2" fontId="77" fillId="0" borderId="1" xfId="0" applyNumberFormat="1" applyFont="1" applyFill="1" applyBorder="1" applyAlignment="1">
      <alignment horizontal="center" vertical="top"/>
    </xf>
    <xf numFmtId="0" fontId="77" fillId="0" borderId="1" xfId="2" applyFont="1" applyFill="1" applyBorder="1" applyAlignment="1" applyProtection="1">
      <alignment wrapText="1"/>
    </xf>
    <xf numFmtId="0" fontId="77" fillId="0" borderId="1" xfId="2" applyFont="1" applyFill="1" applyBorder="1" applyAlignment="1" applyProtection="1">
      <alignment horizontal="left" wrapText="1"/>
    </xf>
    <xf numFmtId="0" fontId="77" fillId="0" borderId="1" xfId="0" applyFont="1" applyFill="1" applyBorder="1" applyAlignment="1" applyProtection="1">
      <alignment horizontal="left" wrapText="1"/>
    </xf>
    <xf numFmtId="0" fontId="77" fillId="0" borderId="1" xfId="0" applyFont="1" applyFill="1" applyBorder="1"/>
    <xf numFmtId="2" fontId="77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4" fontId="12" fillId="0" borderId="1" xfId="6" applyNumberFormat="1" applyFont="1" applyBorder="1" applyAlignment="1">
      <alignment horizontal="left" vertical="center" wrapText="1"/>
    </xf>
    <xf numFmtId="3" fontId="12" fillId="0" borderId="1" xfId="6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wrapText="1"/>
    </xf>
    <xf numFmtId="0" fontId="118" fillId="0" borderId="1" xfId="0" applyFont="1" applyBorder="1" applyAlignment="1">
      <alignment horizontal="center"/>
    </xf>
    <xf numFmtId="0" fontId="85" fillId="0" borderId="1" xfId="12" applyFont="1" applyFill="1" applyBorder="1" applyAlignment="1">
      <alignment horizontal="center" vertical="center" wrapText="1"/>
    </xf>
    <xf numFmtId="4" fontId="4" fillId="0" borderId="1" xfId="6" applyNumberFormat="1" applyFont="1" applyFill="1" applyBorder="1" applyAlignment="1">
      <alignment horizontal="left" vertical="top" wrapText="1"/>
    </xf>
    <xf numFmtId="0" fontId="80" fillId="0" borderId="1" xfId="0" applyNumberFormat="1" applyFont="1" applyBorder="1" applyAlignment="1">
      <alignment vertical="center" wrapText="1"/>
    </xf>
    <xf numFmtId="3" fontId="0" fillId="0" borderId="1" xfId="0" applyNumberFormat="1" applyBorder="1"/>
    <xf numFmtId="0" fontId="80" fillId="0" borderId="1" xfId="0" applyFont="1" applyBorder="1"/>
    <xf numFmtId="3" fontId="80" fillId="0" borderId="1" xfId="0" applyNumberFormat="1" applyFont="1" applyBorder="1"/>
    <xf numFmtId="0" fontId="80" fillId="0" borderId="1" xfId="0" applyFont="1" applyBorder="1" applyAlignment="1">
      <alignment vertical="center" wrapText="1"/>
    </xf>
    <xf numFmtId="1" fontId="0" fillId="0" borderId="1" xfId="0" applyNumberFormat="1" applyBorder="1"/>
    <xf numFmtId="0" fontId="80" fillId="0" borderId="0" xfId="0" applyFont="1" applyFill="1" applyBorder="1" applyAlignment="1">
      <alignment vertical="center" wrapText="1"/>
    </xf>
    <xf numFmtId="0" fontId="80" fillId="0" borderId="0" xfId="0" applyFont="1" applyBorder="1"/>
    <xf numFmtId="3" fontId="4" fillId="7" borderId="1" xfId="6" applyNumberFormat="1" applyFont="1" applyFill="1" applyBorder="1" applyAlignment="1">
      <alignment horizontal="center" vertical="center" wrapText="1"/>
    </xf>
    <xf numFmtId="0" fontId="136" fillId="0" borderId="0" xfId="12" applyFont="1" applyFill="1" applyAlignment="1">
      <alignment horizontal="center"/>
    </xf>
    <xf numFmtId="0" fontId="61" fillId="0" borderId="0" xfId="12" applyFont="1" applyFill="1" applyAlignment="1">
      <alignment horizontal="center"/>
    </xf>
    <xf numFmtId="0" fontId="31" fillId="2" borderId="0" xfId="12" applyFont="1" applyFill="1"/>
    <xf numFmtId="0" fontId="61" fillId="0" borderId="1" xfId="12" applyFont="1" applyFill="1" applyBorder="1" applyAlignment="1">
      <alignment horizontal="center" vertical="center" wrapText="1"/>
    </xf>
    <xf numFmtId="49" fontId="61" fillId="0" borderId="1" xfId="12" applyNumberFormat="1" applyFont="1" applyFill="1" applyBorder="1" applyAlignment="1">
      <alignment horizontal="center" vertical="center" textRotation="90" wrapText="1" shrinkToFit="1"/>
    </xf>
    <xf numFmtId="0" fontId="61" fillId="0" borderId="1" xfId="12" applyFont="1" applyFill="1" applyBorder="1" applyAlignment="1">
      <alignment horizontal="center" vertical="center" textRotation="90"/>
    </xf>
    <xf numFmtId="0" fontId="41" fillId="0" borderId="1" xfId="12" applyFont="1" applyFill="1" applyBorder="1" applyAlignment="1">
      <alignment horizontal="center" vertical="center" textRotation="90"/>
    </xf>
    <xf numFmtId="49" fontId="61" fillId="0" borderId="1" xfId="12" applyNumberFormat="1" applyFont="1" applyFill="1" applyBorder="1" applyAlignment="1">
      <alignment horizontal="center" vertical="center" wrapText="1" shrinkToFit="1"/>
    </xf>
    <xf numFmtId="0" fontId="41" fillId="0" borderId="1" xfId="12" applyFont="1" applyFill="1" applyBorder="1" applyAlignment="1">
      <alignment horizontal="right"/>
    </xf>
    <xf numFmtId="0" fontId="41" fillId="0" borderId="1" xfId="12" applyFont="1" applyFill="1" applyBorder="1" applyAlignment="1"/>
    <xf numFmtId="0" fontId="41" fillId="0" borderId="0" xfId="12" applyFont="1" applyFill="1" applyAlignment="1"/>
    <xf numFmtId="0" fontId="61" fillId="0" borderId="1" xfId="12" applyFont="1" applyFill="1" applyBorder="1" applyAlignment="1">
      <alignment horizontal="center" vertical="center"/>
    </xf>
    <xf numFmtId="0" fontId="46" fillId="0" borderId="1" xfId="12" applyFont="1" applyFill="1" applyBorder="1" applyAlignment="1">
      <alignment horizontal="center" vertical="center"/>
    </xf>
    <xf numFmtId="0" fontId="31" fillId="0" borderId="1" xfId="12" applyFont="1" applyFill="1" applyBorder="1"/>
    <xf numFmtId="0" fontId="12" fillId="0" borderId="1" xfId="12" applyFont="1" applyFill="1" applyBorder="1"/>
    <xf numFmtId="171" fontId="61" fillId="0" borderId="1" xfId="12" applyNumberFormat="1" applyFont="1" applyFill="1" applyBorder="1" applyAlignment="1">
      <alignment horizontal="center" vertical="center" wrapText="1"/>
    </xf>
    <xf numFmtId="2" fontId="61" fillId="0" borderId="1" xfId="12" applyNumberFormat="1" applyFont="1" applyFill="1" applyBorder="1" applyAlignment="1">
      <alignment horizontal="center" vertical="center" wrapText="1"/>
    </xf>
    <xf numFmtId="9" fontId="61" fillId="0" borderId="1" xfId="12" applyNumberFormat="1" applyFont="1" applyFill="1" applyBorder="1" applyAlignment="1">
      <alignment horizontal="center" vertical="center" wrapText="1"/>
    </xf>
    <xf numFmtId="2" fontId="88" fillId="0" borderId="1" xfId="12" applyNumberFormat="1" applyFont="1" applyFill="1" applyBorder="1" applyAlignment="1">
      <alignment horizontal="center" vertical="center" wrapText="1"/>
    </xf>
    <xf numFmtId="0" fontId="44" fillId="0" borderId="1" xfId="12" applyFont="1" applyFill="1" applyBorder="1" applyAlignment="1">
      <alignment vertical="center"/>
    </xf>
    <xf numFmtId="2" fontId="44" fillId="0" borderId="1" xfId="12" applyNumberFormat="1" applyFont="1" applyFill="1" applyBorder="1" applyAlignment="1">
      <alignment vertical="center"/>
    </xf>
    <xf numFmtId="0" fontId="61" fillId="0" borderId="1" xfId="12" applyNumberFormat="1" applyFont="1" applyFill="1" applyBorder="1" applyAlignment="1">
      <alignment horizontal="center" vertical="center" wrapText="1"/>
    </xf>
    <xf numFmtId="2" fontId="46" fillId="0" borderId="1" xfId="12" applyNumberFormat="1" applyFont="1" applyFill="1" applyBorder="1" applyAlignment="1">
      <alignment horizontal="center" vertical="center"/>
    </xf>
    <xf numFmtId="2" fontId="46" fillId="0" borderId="1" xfId="12" applyNumberFormat="1" applyFont="1" applyFill="1" applyBorder="1" applyAlignment="1">
      <alignment horizontal="center" vertical="center" wrapText="1"/>
    </xf>
    <xf numFmtId="2" fontId="89" fillId="7" borderId="1" xfId="12" applyNumberFormat="1" applyFont="1" applyFill="1" applyBorder="1" applyAlignment="1">
      <alignment horizontal="center" vertical="center" wrapText="1"/>
    </xf>
    <xf numFmtId="0" fontId="61" fillId="0" borderId="1" xfId="12" applyNumberFormat="1" applyFont="1" applyFill="1" applyBorder="1" applyAlignment="1">
      <alignment horizontal="center" vertical="center"/>
    </xf>
    <xf numFmtId="0" fontId="46" fillId="0" borderId="1" xfId="12" applyNumberFormat="1" applyFont="1" applyFill="1" applyBorder="1" applyAlignment="1">
      <alignment horizontal="center" vertical="center"/>
    </xf>
    <xf numFmtId="170" fontId="61" fillId="0" borderId="1" xfId="12" applyNumberFormat="1" applyFont="1" applyFill="1" applyBorder="1" applyAlignment="1">
      <alignment horizontal="center" vertical="center"/>
    </xf>
    <xf numFmtId="170" fontId="46" fillId="0" borderId="1" xfId="12" applyNumberFormat="1" applyFont="1" applyFill="1" applyBorder="1" applyAlignment="1">
      <alignment horizontal="center" vertical="center"/>
    </xf>
    <xf numFmtId="9" fontId="46" fillId="0" borderId="1" xfId="12" applyNumberFormat="1" applyFont="1" applyFill="1" applyBorder="1" applyAlignment="1">
      <alignment horizontal="center" vertical="center" wrapText="1"/>
    </xf>
    <xf numFmtId="2" fontId="88" fillId="0" borderId="1" xfId="12" applyNumberFormat="1" applyFont="1" applyFill="1" applyBorder="1" applyAlignment="1">
      <alignment horizontal="right" vertical="center"/>
    </xf>
    <xf numFmtId="1" fontId="88" fillId="0" borderId="1" xfId="12" applyNumberFormat="1" applyFont="1" applyFill="1" applyBorder="1" applyAlignment="1">
      <alignment horizontal="right" vertical="center"/>
    </xf>
    <xf numFmtId="2" fontId="61" fillId="0" borderId="1" xfId="12" applyNumberFormat="1" applyFont="1" applyFill="1" applyBorder="1" applyAlignment="1">
      <alignment horizontal="center" vertical="center"/>
    </xf>
    <xf numFmtId="1" fontId="46" fillId="0" borderId="1" xfId="12" applyNumberFormat="1" applyFont="1" applyFill="1" applyBorder="1" applyAlignment="1">
      <alignment horizontal="center" vertical="center"/>
    </xf>
    <xf numFmtId="1" fontId="61" fillId="0" borderId="1" xfId="12" applyNumberFormat="1" applyFont="1" applyFill="1" applyBorder="1" applyAlignment="1">
      <alignment horizontal="center" vertical="center"/>
    </xf>
    <xf numFmtId="2" fontId="85" fillId="2" borderId="1" xfId="12" applyNumberFormat="1" applyFont="1" applyFill="1" applyBorder="1" applyAlignment="1">
      <alignment horizontal="center" vertical="center" wrapText="1"/>
    </xf>
    <xf numFmtId="3" fontId="46" fillId="0" borderId="1" xfId="12" applyNumberFormat="1" applyFont="1" applyFill="1" applyBorder="1" applyAlignment="1">
      <alignment horizontal="center" vertical="center"/>
    </xf>
    <xf numFmtId="0" fontId="46" fillId="0" borderId="1" xfId="12" applyFont="1" applyFill="1" applyBorder="1" applyAlignment="1">
      <alignment vertical="center"/>
    </xf>
    <xf numFmtId="0" fontId="61" fillId="0" borderId="1" xfId="12" applyFont="1" applyFill="1" applyBorder="1" applyAlignment="1">
      <alignment vertical="center"/>
    </xf>
    <xf numFmtId="3" fontId="58" fillId="0" borderId="0" xfId="12" applyNumberFormat="1" applyFont="1" applyFill="1" applyAlignment="1">
      <alignment vertical="center"/>
    </xf>
    <xf numFmtId="4" fontId="58" fillId="0" borderId="1" xfId="12" applyNumberFormat="1" applyFont="1" applyFill="1" applyBorder="1" applyAlignment="1">
      <alignment vertical="center"/>
    </xf>
    <xf numFmtId="49" fontId="58" fillId="0" borderId="1" xfId="13" applyNumberFormat="1" applyFont="1" applyFill="1" applyBorder="1" applyAlignment="1">
      <alignment horizontal="left" vertical="center" wrapText="1"/>
    </xf>
    <xf numFmtId="0" fontId="58" fillId="0" borderId="1" xfId="12" applyFont="1" applyFill="1" applyBorder="1" applyAlignment="1">
      <alignment vertical="center"/>
    </xf>
    <xf numFmtId="2" fontId="58" fillId="0" borderId="1" xfId="12" applyNumberFormat="1" applyFont="1" applyFill="1" applyBorder="1" applyAlignment="1">
      <alignment horizontal="center" vertical="center"/>
    </xf>
    <xf numFmtId="1" fontId="58" fillId="0" borderId="1" xfId="12" applyNumberFormat="1" applyFont="1" applyFill="1" applyBorder="1" applyAlignment="1">
      <alignment horizontal="center" vertical="center"/>
    </xf>
    <xf numFmtId="0" fontId="58" fillId="0" borderId="0" xfId="12" applyFont="1" applyFill="1" applyAlignment="1">
      <alignment vertical="center"/>
    </xf>
    <xf numFmtId="170" fontId="58" fillId="0" borderId="1" xfId="12" applyNumberFormat="1" applyFont="1" applyFill="1" applyBorder="1" applyAlignment="1">
      <alignment horizontal="center" vertical="center"/>
    </xf>
    <xf numFmtId="0" fontId="61" fillId="0" borderId="0" xfId="12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1" fontId="58" fillId="0" borderId="0" xfId="12" applyNumberFormat="1" applyFont="1" applyFill="1" applyBorder="1" applyAlignment="1">
      <alignment horizontal="center" vertical="center"/>
    </xf>
    <xf numFmtId="0" fontId="61" fillId="0" borderId="0" xfId="12" applyFont="1" applyFill="1" applyBorder="1" applyAlignment="1">
      <alignment vertical="center"/>
    </xf>
    <xf numFmtId="9" fontId="136" fillId="0" borderId="0" xfId="12" applyNumberFormat="1" applyFont="1" applyFill="1" applyBorder="1" applyAlignment="1">
      <alignment horizontal="center" vertical="center" wrapText="1"/>
    </xf>
    <xf numFmtId="0" fontId="136" fillId="0" borderId="0" xfId="12" applyFont="1" applyFill="1" applyBorder="1" applyAlignment="1">
      <alignment horizontal="center" vertical="center"/>
    </xf>
    <xf numFmtId="0" fontId="138" fillId="0" borderId="0" xfId="12" applyFont="1" applyFill="1" applyBorder="1" applyAlignment="1">
      <alignment horizontal="center" vertical="center"/>
    </xf>
    <xf numFmtId="0" fontId="139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2" fontId="136" fillId="0" borderId="0" xfId="12" applyNumberFormat="1" applyFont="1" applyFill="1" applyBorder="1" applyAlignment="1">
      <alignment horizontal="center" vertical="center" wrapText="1"/>
    </xf>
    <xf numFmtId="0" fontId="136" fillId="0" borderId="0" xfId="12" applyFont="1" applyFill="1" applyBorder="1" applyAlignment="1">
      <alignment vertical="center"/>
    </xf>
    <xf numFmtId="1" fontId="106" fillId="0" borderId="0" xfId="0" applyNumberFormat="1" applyFont="1" applyFill="1" applyBorder="1" applyAlignment="1">
      <alignment horizontal="center" vertical="center"/>
    </xf>
    <xf numFmtId="3" fontId="106" fillId="0" borderId="0" xfId="12" applyNumberFormat="1" applyFont="1" applyFill="1" applyBorder="1" applyAlignment="1">
      <alignment horizontal="center" vertical="center"/>
    </xf>
    <xf numFmtId="9" fontId="44" fillId="0" borderId="0" xfId="12" applyNumberFormat="1" applyFont="1" applyFill="1" applyAlignment="1">
      <alignment vertical="center"/>
    </xf>
    <xf numFmtId="0" fontId="61" fillId="0" borderId="0" xfId="12" applyFont="1" applyFill="1" applyBorder="1"/>
    <xf numFmtId="0" fontId="136" fillId="0" borderId="0" xfId="12" applyFont="1" applyFill="1" applyBorder="1" applyAlignment="1">
      <alignment horizontal="center"/>
    </xf>
    <xf numFmtId="4" fontId="138" fillId="0" borderId="0" xfId="12" applyNumberFormat="1" applyFont="1" applyFill="1" applyBorder="1" applyAlignment="1">
      <alignment horizontal="center"/>
    </xf>
    <xf numFmtId="0" fontId="138" fillId="0" borderId="0" xfId="12" applyFont="1" applyFill="1" applyBorder="1" applyAlignment="1">
      <alignment horizontal="center"/>
    </xf>
    <xf numFmtId="0" fontId="106" fillId="0" borderId="0" xfId="12" applyFont="1" applyFill="1" applyBorder="1" applyAlignment="1">
      <alignment horizontal="center"/>
    </xf>
    <xf numFmtId="2" fontId="85" fillId="0" borderId="0" xfId="12" applyNumberFormat="1" applyFont="1" applyFill="1" applyBorder="1"/>
    <xf numFmtId="0" fontId="138" fillId="0" borderId="0" xfId="12" applyFont="1" applyFill="1" applyAlignment="1">
      <alignment horizontal="center"/>
    </xf>
    <xf numFmtId="0" fontId="136" fillId="7" borderId="0" xfId="12" applyFont="1" applyFill="1" applyAlignment="1">
      <alignment horizontal="center"/>
    </xf>
    <xf numFmtId="0" fontId="136" fillId="2" borderId="0" xfId="12" applyFont="1" applyFill="1" applyAlignment="1">
      <alignment horizontal="center"/>
    </xf>
    <xf numFmtId="0" fontId="140" fillId="0" borderId="0" xfId="0" applyFont="1"/>
    <xf numFmtId="0" fontId="33" fillId="0" borderId="0" xfId="0" applyFont="1" applyAlignment="1">
      <alignment horizontal="center"/>
    </xf>
    <xf numFmtId="0" fontId="74" fillId="0" borderId="0" xfId="10" applyFont="1" applyFill="1" applyAlignment="1">
      <alignment horizontal="left" wrapText="1"/>
    </xf>
    <xf numFmtId="0" fontId="74" fillId="0" borderId="0" xfId="10" applyFont="1" applyFill="1" applyAlignment="1">
      <alignment horizontal="center" wrapText="1"/>
    </xf>
    <xf numFmtId="49" fontId="6" fillId="0" borderId="1" xfId="10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4" fontId="5" fillId="2" borderId="1" xfId="6" applyNumberFormat="1" applyFont="1" applyFill="1" applyBorder="1" applyAlignment="1">
      <alignment horizontal="center" vertical="center" wrapText="1"/>
    </xf>
    <xf numFmtId="3" fontId="5" fillId="0" borderId="1" xfId="10" applyNumberFormat="1" applyFont="1" applyFill="1" applyBorder="1" applyAlignment="1">
      <alignment horizontal="center" vertical="center"/>
    </xf>
    <xf numFmtId="2" fontId="113" fillId="0" borderId="0" xfId="0" applyNumberFormat="1" applyFont="1" applyAlignment="1">
      <alignment horizontal="center"/>
    </xf>
    <xf numFmtId="4" fontId="33" fillId="0" borderId="1" xfId="0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 wrapText="1"/>
    </xf>
    <xf numFmtId="4" fontId="34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left" vertical="center"/>
    </xf>
    <xf numFmtId="3" fontId="34" fillId="0" borderId="1" xfId="0" applyNumberFormat="1" applyFont="1" applyFill="1" applyBorder="1" applyAlignment="1">
      <alignment horizontal="center" vertical="center"/>
    </xf>
    <xf numFmtId="3" fontId="6" fillId="0" borderId="1" xfId="1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1" fontId="109" fillId="0" borderId="1" xfId="0" applyNumberFormat="1" applyFont="1" applyBorder="1" applyAlignment="1">
      <alignment horizontal="center"/>
    </xf>
    <xf numFmtId="0" fontId="109" fillId="0" borderId="1" xfId="0" applyFont="1" applyBorder="1"/>
    <xf numFmtId="4" fontId="77" fillId="0" borderId="0" xfId="0" applyNumberFormat="1" applyFont="1" applyFill="1" applyAlignment="1">
      <alignment horizontal="center"/>
    </xf>
    <xf numFmtId="0" fontId="122" fillId="0" borderId="0" xfId="0" applyFont="1"/>
    <xf numFmtId="0" fontId="6" fillId="2" borderId="1" xfId="6" applyFont="1" applyFill="1" applyBorder="1" applyAlignment="1">
      <alignment horizontal="left" vertical="center" wrapText="1"/>
    </xf>
    <xf numFmtId="4" fontId="34" fillId="0" borderId="1" xfId="0" applyNumberFormat="1" applyFont="1" applyFill="1" applyBorder="1" applyAlignment="1">
      <alignment horizontal="left" vertical="center"/>
    </xf>
    <xf numFmtId="3" fontId="0" fillId="0" borderId="0" xfId="0" applyNumberFormat="1" applyAlignment="1">
      <alignment horizontal="center"/>
    </xf>
    <xf numFmtId="1" fontId="122" fillId="0" borderId="0" xfId="0" applyNumberFormat="1" applyFont="1"/>
    <xf numFmtId="0" fontId="109" fillId="0" borderId="1" xfId="0" applyFont="1" applyBorder="1" applyAlignment="1">
      <alignment horizontal="left"/>
    </xf>
    <xf numFmtId="3" fontId="109" fillId="0" borderId="1" xfId="0" applyNumberFormat="1" applyFont="1" applyBorder="1"/>
    <xf numFmtId="1" fontId="61" fillId="0" borderId="1" xfId="12" applyNumberFormat="1" applyFont="1" applyFill="1" applyBorder="1" applyAlignment="1">
      <alignment horizontal="center" vertical="center" wrapText="1"/>
    </xf>
    <xf numFmtId="0" fontId="46" fillId="0" borderId="1" xfId="12" applyFont="1" applyFill="1" applyBorder="1" applyAlignment="1">
      <alignment horizontal="center" vertical="center" wrapText="1"/>
    </xf>
    <xf numFmtId="0" fontId="14" fillId="0" borderId="0" xfId="0" applyFont="1" applyFill="1"/>
    <xf numFmtId="0" fontId="28" fillId="0" borderId="1" xfId="0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8" fillId="0" borderId="1" xfId="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6" xfId="0" applyFont="1" applyFill="1" applyBorder="1"/>
    <xf numFmtId="0" fontId="77" fillId="8" borderId="1" xfId="0" applyFont="1" applyFill="1" applyBorder="1" applyAlignment="1">
      <alignment horizontal="center"/>
    </xf>
    <xf numFmtId="0" fontId="77" fillId="8" borderId="1" xfId="0" applyFont="1" applyFill="1" applyBorder="1" applyAlignment="1">
      <alignment horizontal="left"/>
    </xf>
    <xf numFmtId="4" fontId="77" fillId="8" borderId="1" xfId="0" applyNumberFormat="1" applyFont="1" applyFill="1" applyBorder="1" applyAlignment="1">
      <alignment horizontal="center"/>
    </xf>
    <xf numFmtId="2" fontId="77" fillId="8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right" vertical="center" wrapText="1"/>
    </xf>
    <xf numFmtId="4" fontId="33" fillId="0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113" fillId="0" borderId="1" xfId="0" applyNumberFormat="1" applyFont="1" applyBorder="1" applyAlignment="1">
      <alignment horizontal="center"/>
    </xf>
    <xf numFmtId="4" fontId="0" fillId="0" borderId="7" xfId="0" applyNumberFormat="1" applyBorder="1"/>
    <xf numFmtId="0" fontId="0" fillId="0" borderId="7" xfId="0" applyBorder="1"/>
    <xf numFmtId="0" fontId="122" fillId="0" borderId="7" xfId="0" applyFont="1" applyBorder="1" applyAlignment="1">
      <alignment horizontal="center"/>
    </xf>
    <xf numFmtId="4" fontId="0" fillId="0" borderId="0" xfId="0" applyNumberFormat="1" applyBorder="1"/>
    <xf numFmtId="4" fontId="0" fillId="0" borderId="8" xfId="0" applyNumberFormat="1" applyBorder="1"/>
    <xf numFmtId="4" fontId="122" fillId="0" borderId="8" xfId="0" applyNumberFormat="1" applyFont="1" applyBorder="1" applyAlignment="1">
      <alignment horizontal="center"/>
    </xf>
    <xf numFmtId="4" fontId="122" fillId="0" borderId="9" xfId="0" applyNumberFormat="1" applyFont="1" applyBorder="1" applyAlignment="1">
      <alignment horizontal="center"/>
    </xf>
    <xf numFmtId="4" fontId="122" fillId="0" borderId="10" xfId="0" applyNumberFormat="1" applyFont="1" applyBorder="1"/>
    <xf numFmtId="0" fontId="122" fillId="0" borderId="9" xfId="0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122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102" fillId="2" borderId="1" xfId="12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12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/>
    </xf>
    <xf numFmtId="3" fontId="61" fillId="7" borderId="1" xfId="0" applyNumberFormat="1" applyFont="1" applyFill="1" applyBorder="1" applyAlignment="1" applyProtection="1">
      <alignment horizontal="center"/>
      <protection locked="0"/>
    </xf>
    <xf numFmtId="4" fontId="109" fillId="0" borderId="11" xfId="0" applyNumberFormat="1" applyFont="1" applyBorder="1" applyAlignment="1">
      <alignment horizontal="center"/>
    </xf>
    <xf numFmtId="0" fontId="109" fillId="0" borderId="8" xfId="0" applyFont="1" applyBorder="1"/>
    <xf numFmtId="4" fontId="109" fillId="0" borderId="8" xfId="0" applyNumberFormat="1" applyFont="1" applyBorder="1" applyAlignment="1">
      <alignment horizontal="center"/>
    </xf>
    <xf numFmtId="0" fontId="109" fillId="0" borderId="11" xfId="0" applyFont="1" applyBorder="1"/>
    <xf numFmtId="2" fontId="111" fillId="0" borderId="1" xfId="0" applyNumberFormat="1" applyFont="1" applyBorder="1" applyAlignment="1">
      <alignment horizontal="center"/>
    </xf>
    <xf numFmtId="4" fontId="77" fillId="0" borderId="1" xfId="0" applyNumberFormat="1" applyFont="1" applyBorder="1" applyAlignment="1">
      <alignment horizontal="center"/>
    </xf>
    <xf numFmtId="4" fontId="109" fillId="0" borderId="0" xfId="0" applyNumberFormat="1" applyFont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4" fontId="0" fillId="0" borderId="15" xfId="0" applyNumberFormat="1" applyBorder="1"/>
    <xf numFmtId="0" fontId="0" fillId="0" borderId="16" xfId="0" applyBorder="1"/>
    <xf numFmtId="4" fontId="0" fillId="0" borderId="17" xfId="0" applyNumberFormat="1" applyBorder="1"/>
    <xf numFmtId="0" fontId="141" fillId="0" borderId="0" xfId="0" applyFont="1" applyAlignment="1">
      <alignment vertical="center" wrapText="1"/>
    </xf>
    <xf numFmtId="0" fontId="7" fillId="0" borderId="1" xfId="7" applyFont="1" applyFill="1" applyBorder="1" applyAlignment="1">
      <alignment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center" vertical="center"/>
    </xf>
    <xf numFmtId="3" fontId="4" fillId="0" borderId="1" xfId="14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4" fillId="0" borderId="0" xfId="0" applyNumberFormat="1" applyFont="1" applyFill="1" applyBorder="1"/>
    <xf numFmtId="0" fontId="80" fillId="0" borderId="0" xfId="0" applyNumberFormat="1" applyFont="1" applyBorder="1" applyAlignment="1">
      <alignment vertical="center" wrapText="1"/>
    </xf>
    <xf numFmtId="1" fontId="0" fillId="0" borderId="0" xfId="0" applyNumberFormat="1" applyBorder="1"/>
    <xf numFmtId="0" fontId="80" fillId="0" borderId="18" xfId="0" applyFont="1" applyBorder="1"/>
    <xf numFmtId="0" fontId="80" fillId="0" borderId="3" xfId="0" applyFont="1" applyBorder="1"/>
    <xf numFmtId="0" fontId="0" fillId="0" borderId="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NumberFormat="1" applyBorder="1" applyAlignment="1">
      <alignment wrapText="1"/>
    </xf>
    <xf numFmtId="1" fontId="0" fillId="0" borderId="21" xfId="0" applyNumberFormat="1" applyBorder="1"/>
    <xf numFmtId="3" fontId="0" fillId="0" borderId="0" xfId="0" applyNumberFormat="1" applyBorder="1"/>
    <xf numFmtId="0" fontId="80" fillId="0" borderId="20" xfId="0" applyFont="1" applyBorder="1"/>
    <xf numFmtId="0" fontId="0" fillId="0" borderId="2" xfId="0" applyBorder="1"/>
    <xf numFmtId="0" fontId="0" fillId="0" borderId="22" xfId="0" applyBorder="1"/>
    <xf numFmtId="4" fontId="61" fillId="0" borderId="1" xfId="0" applyNumberFormat="1" applyFont="1" applyFill="1" applyBorder="1" applyAlignment="1" applyProtection="1">
      <alignment horizontal="center" vertical="center"/>
      <protection locked="0"/>
    </xf>
    <xf numFmtId="4" fontId="7" fillId="8" borderId="1" xfId="0" applyNumberFormat="1" applyFont="1" applyFill="1" applyBorder="1" applyAlignment="1">
      <alignment horizontal="center"/>
    </xf>
    <xf numFmtId="3" fontId="28" fillId="8" borderId="1" xfId="0" applyNumberFormat="1" applyFont="1" applyFill="1" applyBorder="1" applyAlignment="1">
      <alignment horizontal="center"/>
    </xf>
    <xf numFmtId="4" fontId="28" fillId="8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42" fillId="0" borderId="0" xfId="0" applyFont="1"/>
    <xf numFmtId="2" fontId="0" fillId="0" borderId="0" xfId="0" applyNumberFormat="1" applyBorder="1"/>
    <xf numFmtId="0" fontId="64" fillId="0" borderId="1" xfId="0" applyFont="1" applyFill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 wrapText="1"/>
    </xf>
    <xf numFmtId="0" fontId="41" fillId="0" borderId="1" xfId="12" applyFont="1" applyFill="1" applyBorder="1" applyAlignment="1">
      <alignment horizontal="center" vertical="center" wrapText="1"/>
    </xf>
    <xf numFmtId="0" fontId="61" fillId="0" borderId="1" xfId="12" applyFont="1" applyFill="1" applyBorder="1" applyAlignment="1">
      <alignment horizontal="center" vertical="center" textRotation="90" wrapText="1"/>
    </xf>
    <xf numFmtId="49" fontId="41" fillId="0" borderId="1" xfId="12" applyNumberFormat="1" applyFont="1" applyFill="1" applyBorder="1" applyAlignment="1">
      <alignment horizontal="center" vertical="center" wrapText="1" shrinkToFit="1"/>
    </xf>
    <xf numFmtId="49" fontId="41" fillId="0" borderId="1" xfId="12" applyNumberFormat="1" applyFont="1" applyFill="1" applyBorder="1" applyAlignment="1">
      <alignment horizontal="center" vertical="center" textRotation="90" wrapText="1" shrinkToFit="1"/>
    </xf>
    <xf numFmtId="0" fontId="41" fillId="0" borderId="1" xfId="12" applyFont="1" applyFill="1" applyBorder="1" applyAlignment="1">
      <alignment horizontal="center" vertical="center" textRotation="90" wrapText="1"/>
    </xf>
    <xf numFmtId="0" fontId="85" fillId="2" borderId="1" xfId="12" applyFont="1" applyFill="1" applyBorder="1" applyAlignment="1">
      <alignment horizontal="center" vertical="center" wrapText="1"/>
    </xf>
    <xf numFmtId="0" fontId="85" fillId="0" borderId="1" xfId="12" applyFont="1" applyFill="1" applyBorder="1" applyAlignment="1">
      <alignment vertical="center"/>
    </xf>
    <xf numFmtId="2" fontId="85" fillId="0" borderId="1" xfId="12" applyNumberFormat="1" applyFont="1" applyFill="1" applyBorder="1" applyAlignment="1">
      <alignment horizontal="center" vertical="center"/>
    </xf>
    <xf numFmtId="0" fontId="144" fillId="0" borderId="1" xfId="12" applyFont="1" applyFill="1" applyBorder="1" applyAlignment="1">
      <alignment horizontal="center" vertical="center" wrapText="1"/>
    </xf>
    <xf numFmtId="0" fontId="147" fillId="0" borderId="1" xfId="12" applyFont="1" applyFill="1" applyBorder="1" applyAlignment="1">
      <alignment horizontal="center" vertical="center" wrapText="1"/>
    </xf>
    <xf numFmtId="9" fontId="147" fillId="0" borderId="1" xfId="12" applyNumberFormat="1" applyFont="1" applyFill="1" applyBorder="1" applyAlignment="1">
      <alignment horizontal="center" vertical="center" wrapText="1"/>
    </xf>
    <xf numFmtId="9" fontId="61" fillId="2" borderId="1" xfId="12" applyNumberFormat="1" applyFont="1" applyFill="1" applyBorder="1" applyAlignment="1">
      <alignment horizontal="center" vertical="center" wrapText="1"/>
    </xf>
    <xf numFmtId="0" fontId="145" fillId="0" borderId="1" xfId="12" applyFont="1" applyFill="1" applyBorder="1" applyAlignment="1">
      <alignment horizontal="center" vertical="center" wrapText="1"/>
    </xf>
    <xf numFmtId="0" fontId="145" fillId="0" borderId="1" xfId="12" applyFont="1" applyFill="1" applyBorder="1" applyAlignment="1">
      <alignment vertical="center" wrapText="1"/>
    </xf>
    <xf numFmtId="2" fontId="145" fillId="0" borderId="1" xfId="12" applyNumberFormat="1" applyFont="1" applyFill="1" applyBorder="1" applyAlignment="1">
      <alignment horizontal="center" vertical="center" wrapText="1"/>
    </xf>
    <xf numFmtId="2" fontId="147" fillId="0" borderId="1" xfId="12" applyNumberFormat="1" applyFont="1" applyFill="1" applyBorder="1" applyAlignment="1">
      <alignment horizontal="center" vertical="center" wrapText="1"/>
    </xf>
    <xf numFmtId="0" fontId="148" fillId="0" borderId="1" xfId="6" applyFont="1" applyFill="1" applyBorder="1" applyAlignment="1">
      <alignment horizontal="center" vertical="center" wrapText="1"/>
    </xf>
    <xf numFmtId="0" fontId="149" fillId="0" borderId="0" xfId="12" applyFont="1" applyFill="1" applyBorder="1" applyAlignment="1">
      <alignment vertical="center"/>
    </xf>
    <xf numFmtId="0" fontId="149" fillId="0" borderId="0" xfId="12" applyFont="1" applyFill="1" applyBorder="1" applyAlignment="1">
      <alignment horizontal="center" vertical="center"/>
    </xf>
    <xf numFmtId="0" fontId="147" fillId="0" borderId="0" xfId="12" applyFont="1" applyFill="1" applyBorder="1" applyAlignment="1">
      <alignment horizontal="center" vertical="center"/>
    </xf>
    <xf numFmtId="0" fontId="104" fillId="0" borderId="3" xfId="12" applyFont="1" applyFill="1" applyBorder="1"/>
    <xf numFmtId="0" fontId="104" fillId="0" borderId="3" xfId="12" applyFont="1" applyFill="1" applyBorder="1" applyAlignment="1">
      <alignment horizontal="right"/>
    </xf>
    <xf numFmtId="1" fontId="85" fillId="0" borderId="0" xfId="12" applyNumberFormat="1" applyFont="1" applyFill="1" applyBorder="1"/>
    <xf numFmtId="3" fontId="97" fillId="0" borderId="0" xfId="12" applyNumberFormat="1" applyFont="1" applyFill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 vertical="center"/>
    </xf>
    <xf numFmtId="2" fontId="143" fillId="0" borderId="0" xfId="0" applyNumberFormat="1" applyFont="1" applyAlignment="1">
      <alignment horizontal="center" vertical="center"/>
    </xf>
    <xf numFmtId="3" fontId="12" fillId="7" borderId="1" xfId="6" applyNumberFormat="1" applyFont="1" applyFill="1" applyBorder="1" applyAlignment="1">
      <alignment horizontal="center" vertical="center" wrapText="1"/>
    </xf>
    <xf numFmtId="0" fontId="146" fillId="0" borderId="1" xfId="6" applyFont="1" applyFill="1" applyBorder="1" applyAlignment="1">
      <alignment horizontal="center" vertical="center" wrapText="1"/>
    </xf>
    <xf numFmtId="0" fontId="85" fillId="0" borderId="1" xfId="11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6" applyFont="1" applyBorder="1" applyAlignment="1">
      <alignment horizontal="left" vertical="top" wrapText="1"/>
    </xf>
    <xf numFmtId="4" fontId="0" fillId="0" borderId="1" xfId="0" applyNumberFormat="1" applyBorder="1"/>
    <xf numFmtId="4" fontId="80" fillId="0" borderId="1" xfId="0" applyNumberFormat="1" applyFont="1" applyBorder="1"/>
    <xf numFmtId="0" fontId="8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/>
    <xf numFmtId="1" fontId="0" fillId="0" borderId="0" xfId="0" applyNumberFormat="1"/>
    <xf numFmtId="1" fontId="0" fillId="0" borderId="23" xfId="0" applyNumberFormat="1" applyBorder="1"/>
    <xf numFmtId="3" fontId="0" fillId="0" borderId="23" xfId="0" applyNumberFormat="1" applyBorder="1"/>
    <xf numFmtId="0" fontId="0" fillId="0" borderId="5" xfId="0" applyBorder="1"/>
    <xf numFmtId="0" fontId="0" fillId="0" borderId="24" xfId="0" applyBorder="1"/>
    <xf numFmtId="0" fontId="0" fillId="0" borderId="23" xfId="0" applyBorder="1"/>
    <xf numFmtId="177" fontId="0" fillId="0" borderId="21" xfId="0" applyNumberFormat="1" applyBorder="1"/>
    <xf numFmtId="178" fontId="0" fillId="0" borderId="0" xfId="0" applyNumberFormat="1" applyBorder="1"/>
    <xf numFmtId="179" fontId="0" fillId="0" borderId="2" xfId="0" applyNumberFormat="1" applyBorder="1"/>
    <xf numFmtId="0" fontId="0" fillId="0" borderId="0" xfId="0" applyBorder="1" applyAlignment="1">
      <alignment horizontal="left"/>
    </xf>
    <xf numFmtId="0" fontId="4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41" fillId="0" borderId="0" xfId="6" applyFont="1" applyAlignment="1">
      <alignment horizontal="left" vertical="center"/>
    </xf>
    <xf numFmtId="0" fontId="41" fillId="0" borderId="0" xfId="6" applyFont="1" applyAlignment="1">
      <alignment horizontal="center" vertical="center"/>
    </xf>
    <xf numFmtId="176" fontId="40" fillId="0" borderId="0" xfId="6" applyNumberFormat="1" applyFont="1" applyAlignment="1">
      <alignment horizontal="left" vertical="center" wrapText="1"/>
    </xf>
    <xf numFmtId="0" fontId="40" fillId="0" borderId="2" xfId="6" applyFont="1" applyBorder="1" applyAlignment="1">
      <alignment horizontal="center" vertical="center"/>
    </xf>
    <xf numFmtId="0" fontId="12" fillId="0" borderId="1" xfId="6" applyFont="1" applyBorder="1" applyAlignment="1">
      <alignment horizontal="left" vertical="center" wrapText="1"/>
    </xf>
    <xf numFmtId="0" fontId="12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4" fillId="0" borderId="1" xfId="6" applyNumberFormat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3" fontId="12" fillId="0" borderId="1" xfId="6" applyNumberFormat="1" applyFont="1" applyBorder="1" applyAlignment="1">
      <alignment horizontal="center" vertical="center"/>
    </xf>
    <xf numFmtId="4" fontId="12" fillId="0" borderId="1" xfId="6" applyNumberFormat="1" applyFont="1" applyBorder="1" applyAlignment="1">
      <alignment horizontal="left" vertical="center" wrapText="1"/>
    </xf>
    <xf numFmtId="0" fontId="12" fillId="0" borderId="1" xfId="6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0" xfId="6" applyFont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12" fillId="0" borderId="1" xfId="6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6" applyFont="1" applyBorder="1" applyAlignment="1">
      <alignment horizontal="left" vertical="center"/>
    </xf>
    <xf numFmtId="0" fontId="12" fillId="0" borderId="5" xfId="6" applyFont="1" applyBorder="1" applyAlignment="1">
      <alignment vertical="center" wrapText="1"/>
    </xf>
    <xf numFmtId="0" fontId="122" fillId="0" borderId="24" xfId="0" applyFont="1" applyBorder="1" applyAlignment="1">
      <alignment vertical="center" wrapText="1"/>
    </xf>
    <xf numFmtId="0" fontId="122" fillId="0" borderId="23" xfId="0" applyFont="1" applyBorder="1" applyAlignment="1">
      <alignment vertical="center" wrapText="1"/>
    </xf>
    <xf numFmtId="0" fontId="12" fillId="0" borderId="1" xfId="6" applyFont="1" applyBorder="1" applyAlignment="1">
      <alignment horizontal="left" vertical="center"/>
    </xf>
    <xf numFmtId="0" fontId="61" fillId="0" borderId="1" xfId="0" applyFont="1" applyFill="1" applyBorder="1" applyAlignment="1" applyProtection="1">
      <alignment horizontal="left" wrapText="1"/>
      <protection locked="0"/>
    </xf>
    <xf numFmtId="0" fontId="46" fillId="0" borderId="1" xfId="0" applyFont="1" applyFill="1" applyBorder="1" applyAlignment="1" applyProtection="1">
      <alignment horizontal="left" wrapText="1"/>
      <protection locked="0"/>
    </xf>
    <xf numFmtId="0" fontId="46" fillId="8" borderId="1" xfId="0" applyFont="1" applyFill="1" applyBorder="1" applyAlignment="1" applyProtection="1">
      <alignment horizontal="left" wrapText="1"/>
      <protection locked="0"/>
    </xf>
    <xf numFmtId="0" fontId="4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0" fontId="53" fillId="0" borderId="0" xfId="0" applyFont="1" applyBorder="1" applyAlignment="1">
      <alignment horizontal="center" vertical="center"/>
    </xf>
    <xf numFmtId="0" fontId="46" fillId="0" borderId="1" xfId="0" applyFont="1" applyFill="1" applyBorder="1" applyAlignment="1" applyProtection="1">
      <alignment horizontal="center"/>
      <protection locked="0"/>
    </xf>
    <xf numFmtId="0" fontId="61" fillId="0" borderId="1" xfId="0" applyFont="1" applyFill="1" applyBorder="1" applyAlignment="1" applyProtection="1">
      <alignment horizontal="right" wrapText="1"/>
      <protection locked="0"/>
    </xf>
    <xf numFmtId="0" fontId="45" fillId="0" borderId="1" xfId="0" applyFont="1" applyFill="1" applyBorder="1" applyAlignment="1" applyProtection="1">
      <alignment horizontal="center"/>
      <protection locked="0"/>
    </xf>
    <xf numFmtId="0" fontId="66" fillId="2" borderId="5" xfId="0" applyFont="1" applyFill="1" applyBorder="1" applyAlignment="1">
      <alignment horizontal="center" vertical="center" wrapText="1"/>
    </xf>
    <xf numFmtId="0" fontId="66" fillId="2" borderId="24" xfId="0" applyFont="1" applyFill="1" applyBorder="1" applyAlignment="1">
      <alignment horizontal="center" vertical="center" wrapText="1"/>
    </xf>
    <xf numFmtId="0" fontId="66" fillId="2" borderId="23" xfId="0" applyFont="1" applyFill="1" applyBorder="1" applyAlignment="1">
      <alignment horizontal="center" vertical="center" wrapText="1"/>
    </xf>
    <xf numFmtId="0" fontId="67" fillId="0" borderId="5" xfId="0" applyFont="1" applyFill="1" applyBorder="1" applyAlignment="1">
      <alignment horizontal="left" vertical="center" wrapText="1"/>
    </xf>
    <xf numFmtId="0" fontId="67" fillId="0" borderId="24" xfId="0" applyFont="1" applyFill="1" applyBorder="1" applyAlignment="1">
      <alignment horizontal="left" vertical="center" wrapText="1"/>
    </xf>
    <xf numFmtId="0" fontId="67" fillId="0" borderId="23" xfId="0" applyFont="1" applyFill="1" applyBorder="1" applyAlignment="1">
      <alignment horizontal="left" vertical="center" wrapText="1"/>
    </xf>
    <xf numFmtId="0" fontId="66" fillId="8" borderId="1" xfId="0" applyFont="1" applyFill="1" applyBorder="1" applyAlignment="1">
      <alignment horizontal="left" vertical="center" wrapText="1"/>
    </xf>
    <xf numFmtId="0" fontId="47" fillId="0" borderId="0" xfId="0" applyFont="1" applyFill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67" fillId="8" borderId="1" xfId="0" applyFont="1" applyFill="1" applyBorder="1" applyAlignment="1">
      <alignment horizontal="left" vertical="center" wrapText="1"/>
    </xf>
    <xf numFmtId="0" fontId="66" fillId="2" borderId="1" xfId="0" applyFont="1" applyFill="1" applyBorder="1" applyAlignment="1">
      <alignment horizontal="left" vertical="center"/>
    </xf>
    <xf numFmtId="0" fontId="66" fillId="8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4" fillId="0" borderId="0" xfId="10" applyFont="1" applyFill="1" applyAlignment="1">
      <alignment horizontal="center" wrapText="1"/>
    </xf>
    <xf numFmtId="0" fontId="88" fillId="0" borderId="1" xfId="0" applyFont="1" applyFill="1" applyBorder="1" applyAlignment="1">
      <alignment horizontal="center" vertical="center" wrapText="1"/>
    </xf>
    <xf numFmtId="0" fontId="93" fillId="8" borderId="1" xfId="12" applyFont="1" applyFill="1" applyBorder="1" applyAlignment="1">
      <alignment horizontal="center" vertical="center" wrapText="1"/>
    </xf>
    <xf numFmtId="14" fontId="150" fillId="0" borderId="0" xfId="12" applyNumberFormat="1" applyFont="1" applyFill="1" applyBorder="1" applyAlignment="1">
      <alignment horizontal="center" vertical="center"/>
    </xf>
    <xf numFmtId="0" fontId="88" fillId="0" borderId="1" xfId="12" applyFont="1" applyFill="1" applyBorder="1" applyAlignment="1">
      <alignment horizontal="center" vertical="center" wrapText="1"/>
    </xf>
    <xf numFmtId="0" fontId="41" fillId="0" borderId="1" xfId="12" applyFont="1" applyFill="1" applyBorder="1" applyAlignment="1">
      <alignment horizontal="center" vertical="center" wrapText="1"/>
    </xf>
    <xf numFmtId="0" fontId="89" fillId="0" borderId="1" xfId="12" applyFont="1" applyFill="1" applyBorder="1" applyAlignment="1">
      <alignment horizontal="center" vertical="center" wrapText="1"/>
    </xf>
    <xf numFmtId="0" fontId="94" fillId="0" borderId="1" xfId="12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41" fillId="0" borderId="1" xfId="12" applyFont="1" applyFill="1" applyBorder="1" applyAlignment="1">
      <alignment horizontal="center" wrapText="1"/>
    </xf>
    <xf numFmtId="0" fontId="41" fillId="0" borderId="1" xfId="12" applyFont="1" applyFill="1" applyBorder="1" applyAlignment="1">
      <alignment horizontal="center" vertical="center" textRotation="90" wrapText="1"/>
    </xf>
    <xf numFmtId="0" fontId="41" fillId="0" borderId="1" xfId="0" applyFont="1" applyFill="1" applyBorder="1" applyAlignment="1">
      <alignment horizontal="center" vertical="center" textRotation="90" wrapText="1"/>
    </xf>
    <xf numFmtId="0" fontId="61" fillId="0" borderId="1" xfId="12" applyFont="1" applyFill="1" applyBorder="1" applyAlignment="1">
      <alignment horizontal="center" vertical="center" textRotation="90" wrapText="1"/>
    </xf>
    <xf numFmtId="49" fontId="41" fillId="0" borderId="1" xfId="12" applyNumberFormat="1" applyFont="1" applyFill="1" applyBorder="1" applyAlignment="1">
      <alignment horizontal="center" vertical="center" wrapText="1" shrinkToFit="1"/>
    </xf>
    <xf numFmtId="0" fontId="137" fillId="0" borderId="1" xfId="12" applyFont="1" applyFill="1" applyBorder="1" applyAlignment="1">
      <alignment horizontal="center" vertical="center" wrapText="1" shrinkToFit="1"/>
    </xf>
    <xf numFmtId="49" fontId="41" fillId="0" borderId="1" xfId="12" applyNumberFormat="1" applyFont="1" applyFill="1" applyBorder="1" applyAlignment="1">
      <alignment horizontal="center" vertical="center" textRotation="90" wrapText="1" shrinkToFit="1"/>
    </xf>
    <xf numFmtId="0" fontId="59" fillId="0" borderId="0" xfId="12" applyFont="1" applyFill="1" applyAlignment="1">
      <alignment horizontal="center"/>
    </xf>
    <xf numFmtId="0" fontId="60" fillId="0" borderId="0" xfId="12" applyFont="1" applyFill="1" applyAlignment="1">
      <alignment horizontal="center"/>
    </xf>
    <xf numFmtId="0" fontId="98" fillId="0" borderId="0" xfId="12" applyFont="1" applyFill="1" applyAlignment="1">
      <alignment horizontal="center"/>
    </xf>
    <xf numFmtId="0" fontId="80" fillId="0" borderId="0" xfId="0" applyFont="1" applyBorder="1" applyAlignment="1">
      <alignment horizontal="center" wrapText="1"/>
    </xf>
    <xf numFmtId="0" fontId="80" fillId="0" borderId="21" xfId="0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45" fillId="0" borderId="0" xfId="0" applyFont="1" applyAlignment="1">
      <alignment horizontal="left"/>
    </xf>
    <xf numFmtId="0" fontId="51" fillId="7" borderId="25" xfId="0" applyFont="1" applyFill="1" applyBorder="1" applyAlignment="1">
      <alignment horizontal="center" vertical="center" wrapText="1"/>
    </xf>
    <xf numFmtId="0" fontId="51" fillId="7" borderId="26" xfId="0" applyFont="1" applyFill="1" applyBorder="1" applyAlignment="1">
      <alignment horizontal="center" vertical="center" wrapText="1"/>
    </xf>
    <xf numFmtId="0" fontId="51" fillId="7" borderId="2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9" fontId="26" fillId="2" borderId="0" xfId="0" applyNumberFormat="1" applyFont="1" applyFill="1" applyAlignment="1">
      <alignment horizontal="center" vertical="center"/>
    </xf>
  </cellXfs>
  <cellStyles count="18">
    <cellStyle name="Normal_meresha_07" xfId="1"/>
    <cellStyle name="Гиперссылка" xfId="2" builtinId="8"/>
    <cellStyle name="Денежный 2" xfId="3"/>
    <cellStyle name="Звичайний 2" xfId="4"/>
    <cellStyle name="Звичайний_ВИДАТКИ 2011 РОКУ" xfId="5"/>
    <cellStyle name="Обычный" xfId="0" builtinId="0"/>
    <cellStyle name="Обычный 2" xfId="6"/>
    <cellStyle name="Обычный 2 2" xfId="7"/>
    <cellStyle name="Обычный 3" xfId="8"/>
    <cellStyle name="Обычный 7" xfId="9"/>
    <cellStyle name="Обычный_ІІІ етап ЄТС остаточний" xfId="10"/>
    <cellStyle name="Обычный_Тарифікація А ЗПСМ станом на 01.01.2013 р." xfId="11"/>
    <cellStyle name="Обычный_Тарифікація ЦРЛ станом на 02.07.2013 р." xfId="12"/>
    <cellStyle name="Обычный_ШТАТИ на 01 грудня 2013 року" xfId="13"/>
    <cellStyle name="Процентный" xfId="14" builtinId="5"/>
    <cellStyle name="Стиль 1" xfId="15"/>
    <cellStyle name="Тысячи [0]_Розподіл (2)" xfId="16"/>
    <cellStyle name="Тысячи_бюджет 1998 по клас." xfId="17"/>
  </cellStyles>
  <dxfs count="21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01_&#1044;&#1086;&#1093;&#1086;&#1076;&#1080;'!H10"/><Relationship Id="rId18" Type="http://schemas.openxmlformats.org/officeDocument/2006/relationships/hyperlink" Target="#'01_&#1044;&#1086;&#1093;&#1086;&#1076;&#1080;'!H10"/><Relationship Id="rId26" Type="http://schemas.openxmlformats.org/officeDocument/2006/relationships/hyperlink" Target="#'01_&#1044;&#1086;&#1093;&#1086;&#1076;&#1080;'!H10"/><Relationship Id="rId39" Type="http://schemas.openxmlformats.org/officeDocument/2006/relationships/hyperlink" Target="#'01_&#1044;&#1086;&#1093;&#1086;&#1076;&#1080;'!H10"/><Relationship Id="rId21" Type="http://schemas.openxmlformats.org/officeDocument/2006/relationships/hyperlink" Target="#'01_&#1044;&#1086;&#1093;&#1086;&#1076;&#1080;'!H10"/><Relationship Id="rId34" Type="http://schemas.openxmlformats.org/officeDocument/2006/relationships/hyperlink" Target="#'01_&#1044;&#1086;&#1093;&#1086;&#1076;&#1080;'!H10"/><Relationship Id="rId42" Type="http://schemas.openxmlformats.org/officeDocument/2006/relationships/hyperlink" Target="#'01_&#1044;&#1086;&#1093;&#1086;&#1076;&#1080;'!H10"/><Relationship Id="rId47" Type="http://schemas.openxmlformats.org/officeDocument/2006/relationships/hyperlink" Target="#'01_&#1044;&#1086;&#1093;&#1086;&#1076;&#1080;'!H10"/><Relationship Id="rId50" Type="http://schemas.openxmlformats.org/officeDocument/2006/relationships/hyperlink" Target="#'01_&#1044;&#1086;&#1093;&#1086;&#1076;&#1080;'!H10"/><Relationship Id="rId55" Type="http://schemas.openxmlformats.org/officeDocument/2006/relationships/hyperlink" Target="#'01_&#1044;&#1086;&#1093;&#1086;&#1076;&#1080;'!H10"/><Relationship Id="rId63" Type="http://schemas.openxmlformats.org/officeDocument/2006/relationships/hyperlink" Target="#'01_&#1044;&#1086;&#1093;&#1086;&#1076;&#1080;'!H10"/><Relationship Id="rId68" Type="http://schemas.openxmlformats.org/officeDocument/2006/relationships/hyperlink" Target="#'01_&#1044;&#1086;&#1093;&#1086;&#1076;&#1080;'!H10"/><Relationship Id="rId76" Type="http://schemas.openxmlformats.org/officeDocument/2006/relationships/hyperlink" Target="#'01_&#1044;&#1086;&#1093;&#1086;&#1076;&#1080;'!H10"/><Relationship Id="rId84" Type="http://schemas.openxmlformats.org/officeDocument/2006/relationships/hyperlink" Target="#'01_&#1044;&#1086;&#1093;&#1086;&#1076;&#1080;'!H10"/><Relationship Id="rId7" Type="http://schemas.openxmlformats.org/officeDocument/2006/relationships/hyperlink" Target="#'01_&#1044;&#1086;&#1093;&#1086;&#1076;&#1080;'!H10"/><Relationship Id="rId71" Type="http://schemas.openxmlformats.org/officeDocument/2006/relationships/hyperlink" Target="#'01_&#1044;&#1086;&#1093;&#1086;&#1076;&#1080;'!H10"/><Relationship Id="rId2" Type="http://schemas.openxmlformats.org/officeDocument/2006/relationships/image" Target="../media/image1.png"/><Relationship Id="rId16" Type="http://schemas.openxmlformats.org/officeDocument/2006/relationships/hyperlink" Target="#'01_&#1044;&#1086;&#1093;&#1086;&#1076;&#1080;'!H10"/><Relationship Id="rId29" Type="http://schemas.openxmlformats.org/officeDocument/2006/relationships/hyperlink" Target="#'01_&#1044;&#1086;&#1093;&#1086;&#1076;&#1080;'!H10"/><Relationship Id="rId11" Type="http://schemas.openxmlformats.org/officeDocument/2006/relationships/hyperlink" Target="#'01_&#1044;&#1086;&#1093;&#1086;&#1076;&#1080;'!H10"/><Relationship Id="rId24" Type="http://schemas.openxmlformats.org/officeDocument/2006/relationships/hyperlink" Target="#'01_&#1044;&#1086;&#1093;&#1086;&#1076;&#1080;'!H10"/><Relationship Id="rId32" Type="http://schemas.openxmlformats.org/officeDocument/2006/relationships/hyperlink" Target="#'01_&#1044;&#1086;&#1093;&#1086;&#1076;&#1080;'!H10"/><Relationship Id="rId37" Type="http://schemas.openxmlformats.org/officeDocument/2006/relationships/hyperlink" Target="#'01_&#1044;&#1086;&#1093;&#1086;&#1076;&#1080;'!H10"/><Relationship Id="rId40" Type="http://schemas.openxmlformats.org/officeDocument/2006/relationships/hyperlink" Target="#'01_&#1044;&#1086;&#1093;&#1086;&#1076;&#1080;'!H10"/><Relationship Id="rId45" Type="http://schemas.openxmlformats.org/officeDocument/2006/relationships/hyperlink" Target="#'01_&#1044;&#1086;&#1093;&#1086;&#1076;&#1080;'!H10"/><Relationship Id="rId53" Type="http://schemas.openxmlformats.org/officeDocument/2006/relationships/hyperlink" Target="#'01_&#1044;&#1086;&#1093;&#1086;&#1076;&#1080;'!H10"/><Relationship Id="rId58" Type="http://schemas.openxmlformats.org/officeDocument/2006/relationships/hyperlink" Target="#'01_&#1044;&#1086;&#1093;&#1086;&#1076;&#1080;'!H10"/><Relationship Id="rId66" Type="http://schemas.openxmlformats.org/officeDocument/2006/relationships/hyperlink" Target="#'01_&#1044;&#1086;&#1093;&#1086;&#1076;&#1080;'!H10"/><Relationship Id="rId74" Type="http://schemas.openxmlformats.org/officeDocument/2006/relationships/hyperlink" Target="#'01_&#1044;&#1086;&#1093;&#1086;&#1076;&#1080;'!H10"/><Relationship Id="rId79" Type="http://schemas.openxmlformats.org/officeDocument/2006/relationships/hyperlink" Target="#'01_&#1044;&#1086;&#1093;&#1086;&#1076;&#1080;'!H10"/><Relationship Id="rId5" Type="http://schemas.openxmlformats.org/officeDocument/2006/relationships/hyperlink" Target="#'01_&#1044;&#1086;&#1093;&#1086;&#1076;&#1080;'!H10"/><Relationship Id="rId61" Type="http://schemas.openxmlformats.org/officeDocument/2006/relationships/hyperlink" Target="#'01_&#1044;&#1086;&#1093;&#1086;&#1076;&#1080;'!H10"/><Relationship Id="rId82" Type="http://schemas.openxmlformats.org/officeDocument/2006/relationships/hyperlink" Target="#'01_&#1044;&#1086;&#1093;&#1086;&#1076;&#1080;'!H10"/><Relationship Id="rId19" Type="http://schemas.openxmlformats.org/officeDocument/2006/relationships/hyperlink" Target="#'01_&#1044;&#1086;&#1093;&#1086;&#1076;&#1080;'!H10"/><Relationship Id="rId4" Type="http://schemas.openxmlformats.org/officeDocument/2006/relationships/hyperlink" Target="#'01_&#1044;&#1086;&#1093;&#1086;&#1076;&#1080;'!H10"/><Relationship Id="rId9" Type="http://schemas.openxmlformats.org/officeDocument/2006/relationships/hyperlink" Target="#'01_&#1044;&#1086;&#1093;&#1086;&#1076;&#1080;'!H10"/><Relationship Id="rId14" Type="http://schemas.openxmlformats.org/officeDocument/2006/relationships/hyperlink" Target="#'01_&#1044;&#1086;&#1093;&#1086;&#1076;&#1080;'!H10"/><Relationship Id="rId22" Type="http://schemas.openxmlformats.org/officeDocument/2006/relationships/hyperlink" Target="#'01_&#1044;&#1086;&#1093;&#1086;&#1076;&#1080;'!H10"/><Relationship Id="rId27" Type="http://schemas.openxmlformats.org/officeDocument/2006/relationships/hyperlink" Target="#'01_&#1044;&#1086;&#1093;&#1086;&#1076;&#1080;'!H10"/><Relationship Id="rId30" Type="http://schemas.openxmlformats.org/officeDocument/2006/relationships/hyperlink" Target="#'01_&#1044;&#1086;&#1093;&#1086;&#1076;&#1080;'!H10"/><Relationship Id="rId35" Type="http://schemas.openxmlformats.org/officeDocument/2006/relationships/hyperlink" Target="#'01_&#1044;&#1086;&#1093;&#1086;&#1076;&#1080;'!H10"/><Relationship Id="rId43" Type="http://schemas.openxmlformats.org/officeDocument/2006/relationships/hyperlink" Target="#'01_&#1044;&#1086;&#1093;&#1086;&#1076;&#1080;'!H10"/><Relationship Id="rId48" Type="http://schemas.openxmlformats.org/officeDocument/2006/relationships/hyperlink" Target="#'01_&#1044;&#1086;&#1093;&#1086;&#1076;&#1080;'!H10"/><Relationship Id="rId56" Type="http://schemas.openxmlformats.org/officeDocument/2006/relationships/hyperlink" Target="#'01_&#1044;&#1086;&#1093;&#1086;&#1076;&#1080;'!H10"/><Relationship Id="rId64" Type="http://schemas.openxmlformats.org/officeDocument/2006/relationships/hyperlink" Target="#'01_&#1044;&#1086;&#1093;&#1086;&#1076;&#1080;'!H10"/><Relationship Id="rId69" Type="http://schemas.openxmlformats.org/officeDocument/2006/relationships/hyperlink" Target="#'01_&#1044;&#1086;&#1093;&#1086;&#1076;&#1080;'!H10"/><Relationship Id="rId77" Type="http://schemas.openxmlformats.org/officeDocument/2006/relationships/hyperlink" Target="#'01_&#1044;&#1086;&#1093;&#1086;&#1076;&#1080;'!H10"/><Relationship Id="rId8" Type="http://schemas.openxmlformats.org/officeDocument/2006/relationships/hyperlink" Target="#'01_&#1044;&#1086;&#1093;&#1086;&#1076;&#1080;'!H10"/><Relationship Id="rId51" Type="http://schemas.openxmlformats.org/officeDocument/2006/relationships/hyperlink" Target="#'01_&#1044;&#1086;&#1093;&#1086;&#1076;&#1080;'!H10"/><Relationship Id="rId72" Type="http://schemas.openxmlformats.org/officeDocument/2006/relationships/hyperlink" Target="#'01_&#1044;&#1086;&#1093;&#1086;&#1076;&#1080;'!H10"/><Relationship Id="rId80" Type="http://schemas.openxmlformats.org/officeDocument/2006/relationships/hyperlink" Target="#'01_&#1044;&#1086;&#1093;&#1086;&#1076;&#1080;'!H10"/><Relationship Id="rId85" Type="http://schemas.openxmlformats.org/officeDocument/2006/relationships/hyperlink" Target="#'01_&#1044;&#1086;&#1093;&#1086;&#1076;&#1080;'!H10"/><Relationship Id="rId3" Type="http://schemas.openxmlformats.org/officeDocument/2006/relationships/hyperlink" Target="#'01_&#1044;&#1086;&#1093;&#1086;&#1076;&#1080;'!H10"/><Relationship Id="rId12" Type="http://schemas.openxmlformats.org/officeDocument/2006/relationships/hyperlink" Target="#'01_&#1044;&#1086;&#1093;&#1086;&#1076;&#1080;'!H10"/><Relationship Id="rId17" Type="http://schemas.openxmlformats.org/officeDocument/2006/relationships/hyperlink" Target="#'01_&#1044;&#1086;&#1093;&#1086;&#1076;&#1080;'!H10"/><Relationship Id="rId25" Type="http://schemas.openxmlformats.org/officeDocument/2006/relationships/hyperlink" Target="#'01_&#1044;&#1086;&#1093;&#1086;&#1076;&#1080;'!H10"/><Relationship Id="rId33" Type="http://schemas.openxmlformats.org/officeDocument/2006/relationships/hyperlink" Target="#'01_&#1044;&#1086;&#1093;&#1086;&#1076;&#1080;'!H10"/><Relationship Id="rId38" Type="http://schemas.openxmlformats.org/officeDocument/2006/relationships/hyperlink" Target="#'01_&#1044;&#1086;&#1093;&#1086;&#1076;&#1080;'!H10"/><Relationship Id="rId46" Type="http://schemas.openxmlformats.org/officeDocument/2006/relationships/hyperlink" Target="#'01_&#1044;&#1086;&#1093;&#1086;&#1076;&#1080;'!H10"/><Relationship Id="rId59" Type="http://schemas.openxmlformats.org/officeDocument/2006/relationships/hyperlink" Target="#'01_&#1044;&#1086;&#1093;&#1086;&#1076;&#1080;'!H10"/><Relationship Id="rId67" Type="http://schemas.openxmlformats.org/officeDocument/2006/relationships/hyperlink" Target="#'01_&#1044;&#1086;&#1093;&#1086;&#1076;&#1080;'!H10"/><Relationship Id="rId20" Type="http://schemas.openxmlformats.org/officeDocument/2006/relationships/hyperlink" Target="#'01_&#1044;&#1086;&#1093;&#1086;&#1076;&#1080;'!H10"/><Relationship Id="rId41" Type="http://schemas.openxmlformats.org/officeDocument/2006/relationships/hyperlink" Target="#'01_&#1044;&#1086;&#1093;&#1086;&#1076;&#1080;'!H10"/><Relationship Id="rId54" Type="http://schemas.openxmlformats.org/officeDocument/2006/relationships/hyperlink" Target="#'01_&#1044;&#1086;&#1093;&#1086;&#1076;&#1080;'!H10"/><Relationship Id="rId62" Type="http://schemas.openxmlformats.org/officeDocument/2006/relationships/hyperlink" Target="#'01_&#1044;&#1086;&#1093;&#1086;&#1076;&#1080;'!H10"/><Relationship Id="rId70" Type="http://schemas.openxmlformats.org/officeDocument/2006/relationships/hyperlink" Target="#'01_&#1044;&#1086;&#1093;&#1086;&#1076;&#1080;'!H10"/><Relationship Id="rId75" Type="http://schemas.openxmlformats.org/officeDocument/2006/relationships/hyperlink" Target="#'01_&#1044;&#1086;&#1093;&#1086;&#1076;&#1080;'!H10"/><Relationship Id="rId83" Type="http://schemas.openxmlformats.org/officeDocument/2006/relationships/hyperlink" Target="#'01_&#1044;&#1086;&#1093;&#1086;&#1076;&#1080;'!H10"/><Relationship Id="rId1" Type="http://schemas.openxmlformats.org/officeDocument/2006/relationships/hyperlink" Target="#'01_&#1044;&#1086;&#1093;&#1086;&#1076;&#1080;'!H10"/><Relationship Id="rId6" Type="http://schemas.openxmlformats.org/officeDocument/2006/relationships/hyperlink" Target="#'01_&#1044;&#1086;&#1093;&#1086;&#1076;&#1080;'!H10"/><Relationship Id="rId15" Type="http://schemas.openxmlformats.org/officeDocument/2006/relationships/hyperlink" Target="#'01_&#1044;&#1086;&#1093;&#1086;&#1076;&#1080;'!H10"/><Relationship Id="rId23" Type="http://schemas.openxmlformats.org/officeDocument/2006/relationships/hyperlink" Target="#'01_&#1044;&#1086;&#1093;&#1086;&#1076;&#1080;'!H10"/><Relationship Id="rId28" Type="http://schemas.openxmlformats.org/officeDocument/2006/relationships/hyperlink" Target="#'01_&#1044;&#1086;&#1093;&#1086;&#1076;&#1080;'!H10"/><Relationship Id="rId36" Type="http://schemas.openxmlformats.org/officeDocument/2006/relationships/hyperlink" Target="#'01_&#1044;&#1086;&#1093;&#1086;&#1076;&#1080;'!H10"/><Relationship Id="rId49" Type="http://schemas.openxmlformats.org/officeDocument/2006/relationships/hyperlink" Target="#'01_&#1044;&#1086;&#1093;&#1086;&#1076;&#1080;'!H10"/><Relationship Id="rId57" Type="http://schemas.openxmlformats.org/officeDocument/2006/relationships/hyperlink" Target="#'01_&#1044;&#1086;&#1093;&#1086;&#1076;&#1080;'!H10"/><Relationship Id="rId10" Type="http://schemas.openxmlformats.org/officeDocument/2006/relationships/hyperlink" Target="#'01_&#1044;&#1086;&#1093;&#1086;&#1076;&#1080;'!H10"/><Relationship Id="rId31" Type="http://schemas.openxmlformats.org/officeDocument/2006/relationships/hyperlink" Target="#'01_&#1044;&#1086;&#1093;&#1086;&#1076;&#1080;'!H10"/><Relationship Id="rId44" Type="http://schemas.openxmlformats.org/officeDocument/2006/relationships/hyperlink" Target="#'01_&#1044;&#1086;&#1093;&#1086;&#1076;&#1080;'!H10"/><Relationship Id="rId52" Type="http://schemas.openxmlformats.org/officeDocument/2006/relationships/hyperlink" Target="#'01_&#1044;&#1086;&#1093;&#1086;&#1076;&#1080;'!H10"/><Relationship Id="rId60" Type="http://schemas.openxmlformats.org/officeDocument/2006/relationships/hyperlink" Target="#'01_&#1044;&#1086;&#1093;&#1086;&#1076;&#1080;'!H10"/><Relationship Id="rId65" Type="http://schemas.openxmlformats.org/officeDocument/2006/relationships/hyperlink" Target="#'01_&#1044;&#1086;&#1093;&#1086;&#1076;&#1080;'!H10"/><Relationship Id="rId73" Type="http://schemas.openxmlformats.org/officeDocument/2006/relationships/hyperlink" Target="#'01_&#1044;&#1086;&#1093;&#1086;&#1076;&#1080;'!H10"/><Relationship Id="rId78" Type="http://schemas.openxmlformats.org/officeDocument/2006/relationships/hyperlink" Target="#'01_&#1044;&#1086;&#1093;&#1086;&#1076;&#1080;'!H10"/><Relationship Id="rId81" Type="http://schemas.openxmlformats.org/officeDocument/2006/relationships/hyperlink" Target="#'01_&#1044;&#1086;&#1093;&#1086;&#1076;&#1080;'!H10"/><Relationship Id="rId86" Type="http://schemas.openxmlformats.org/officeDocument/2006/relationships/hyperlink" Target="#'01_&#1044;&#1086;&#1093;&#1086;&#1076;&#1080;'!H1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49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9220200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50" name="Рисунок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51" name="Рисунок 8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52" name="Рисунок 9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53" name="Рисунок 10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54" name="Рисунок 11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55" name="Рисунок 12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56" name="Рисунок 1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23</xdr:row>
      <xdr:rowOff>0</xdr:rowOff>
    </xdr:from>
    <xdr:to>
      <xdr:col>0</xdr:col>
      <xdr:colOff>714375</xdr:colOff>
      <xdr:row>25</xdr:row>
      <xdr:rowOff>314325</xdr:rowOff>
    </xdr:to>
    <xdr:pic>
      <xdr:nvPicPr>
        <xdr:cNvPr id="2057" name="Рисунок 14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9220200"/>
          <a:ext cx="666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58" name="Рисунок 15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220200"/>
          <a:ext cx="666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59" name="Рисунок 16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60" name="Рисунок 1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61" name="Рисунок 18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62" name="Рисунок 19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9220200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63" name="Рисунок 20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64" name="Рисунок 21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65" name="Рисунок 22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66" name="Рисунок 23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67" name="Рисунок 24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68" name="Рисунок 25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69" name="Рисунок 26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70" name="Рисунок 27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71" name="Рисунок 28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72" name="Рисунок 29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73" name="Рисунок 30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74" name="Рисунок 3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75" name="Рисунок 32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76" name="Рисунок 33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77" name="Рисунок 34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220200"/>
          <a:ext cx="666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78" name="Рисунок 35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79" name="Рисунок 36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80" name="Рисунок 3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81" name="Рисунок 38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82" name="Рисунок 39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83" name="Рисунок 40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84" name="Рисунок 41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85" name="Рисунок 42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86" name="Рисунок 43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87" name="Рисунок 44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88" name="Рисунок 45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89" name="Рисунок 46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23</xdr:row>
      <xdr:rowOff>0</xdr:rowOff>
    </xdr:from>
    <xdr:to>
      <xdr:col>0</xdr:col>
      <xdr:colOff>714375</xdr:colOff>
      <xdr:row>25</xdr:row>
      <xdr:rowOff>314325</xdr:rowOff>
    </xdr:to>
    <xdr:pic>
      <xdr:nvPicPr>
        <xdr:cNvPr id="2090" name="Рисунок 47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9220200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91" name="Рисунок 48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92" name="Рисунок 49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93" name="Рисунок 50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94" name="Рисунок 51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95" name="Рисунок 52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96" name="Рисунок 53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97" name="Рисунок 5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098" name="Рисунок 55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9220200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099" name="Рисунок 56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00" name="Рисунок 57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01" name="Рисунок 58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02" name="Рисунок 59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03" name="Рисунок 60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04" name="Рисунок 61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05" name="Рисунок 62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06" name="Рисунок 63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107" name="Рисунок 64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9220200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108" name="Рисунок 65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9220200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09" name="Рисунок 66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110" name="Рисунок 67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0</xdr:rowOff>
    </xdr:from>
    <xdr:to>
      <xdr:col>0</xdr:col>
      <xdr:colOff>695325</xdr:colOff>
      <xdr:row>25</xdr:row>
      <xdr:rowOff>314325</xdr:rowOff>
    </xdr:to>
    <xdr:pic>
      <xdr:nvPicPr>
        <xdr:cNvPr id="2111" name="Рисунок 68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9220200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12" name="Рисунок 69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13" name="Рисунок 70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14" name="Рисунок 71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15" name="Рисунок 72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16" name="Рисунок 73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17" name="Рисунок 74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18" name="Рисунок 75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19" name="Рисунок 76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0" name="Рисунок 77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1" name="Рисунок 78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2" name="Рисунок 79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3" name="Рисунок 80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4" name="Рисунок 81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5" name="Рисунок 82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6" name="Рисунок 83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7" name="Рисунок 84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8" name="Рисунок 85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29" name="Рисунок 86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30" name="Рисунок 87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31" name="Рисунок 88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32" name="Рисунок 89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676275</xdr:colOff>
      <xdr:row>25</xdr:row>
      <xdr:rowOff>314325</xdr:rowOff>
    </xdr:to>
    <xdr:pic>
      <xdr:nvPicPr>
        <xdr:cNvPr id="2133" name="Рисунок 90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20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riadna/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tore\buxtmp\work\COMMON\&#1040;&#1087;&#1072;&#1088;&#1072;&#1090;\&#1050;&#1085;&#1080;&#1075;&#1072;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/Desktop/&#1045;&#1082;&#1086;&#1085;&#1086;&#1084;&#1110;&#1082;&#1072;/&#1064;&#1090;&#1072;&#1090;&#1085;&#1080;&#1081;,%20&#1090;&#1072;&#1088;&#1080;&#1092;&#1110;&#1082;&#1072;&#1094;&#1110;&#1103;/2024/&#1064;&#1090;&#1072;&#1090;&#1085;&#1080;&#1081;%20&#1088;&#1086;&#1079;&#1087;&#1080;&#1089;%20,%20&#1058;&#1072;&#1088;&#1080;&#1092;&#1110;&#1082;&#1072;&#1094;&#1110;&#1081;&#1085;&#1110;%20&#1089;&#1087;&#1080;&#1089;&#1082;&#1080;%20&#1085;&#1072;%2003%20&#1074;&#1077;&#1088;&#1077;&#1089;&#1085;&#1103;%202024%20&#1088;&#1086;&#1082;&#1091;%20&#1076;&#1083;&#1103;%20&#1088;&#1086;&#1073;&#1086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gdp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додаток до звіту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gdp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gdp"/>
      <sheetName val="1993"/>
      <sheetName val="1_Структура по елемент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7  інші витрати"/>
      <sheetName val="Правила ДДС"/>
      <sheetName val="Link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попер_роз"/>
      <sheetName val="Лист1"/>
      <sheetName val="МТР все 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form"/>
      <sheetName val="Setup"/>
      <sheetName val="200"/>
      <sheetName val="1993"/>
      <sheetName val="Лист1"/>
      <sheetName val="МТР все -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додаток до звіту"/>
      <sheetName val="7  інші витрати"/>
    </sheetNames>
    <sheetDataSet>
      <sheetData sheetId="0" refreshError="1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7  інші витрати"/>
      <sheetName val="МТР Газ України"/>
      <sheetName val="додаток до звіту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опер_роз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1111"/>
    </sheetNames>
    <sheetDataSet>
      <sheetData sheetId="0" refreshError="1">
        <row r="1">
          <cell r="B1" t="str">
            <v>SBK_FIO</v>
          </cell>
          <cell r="C1" t="str">
            <v>INN</v>
          </cell>
          <cell r="D1" t="str">
            <v>SBK_NUM</v>
          </cell>
          <cell r="E1" t="str">
            <v>SBK_SUM</v>
          </cell>
          <cell r="F1" t="str">
            <v>SBK_SHR</v>
          </cell>
          <cell r="G1" t="str">
            <v>SBK_FLR</v>
          </cell>
        </row>
        <row r="2">
          <cell r="B2" t="str">
            <v>АЛЕКСАНДРІНА ТЕТЯНА АНДРІЇВНА</v>
          </cell>
          <cell r="C2" t="str">
            <v>2116803168</v>
          </cell>
          <cell r="D2" t="str">
            <v>26256071271001</v>
          </cell>
        </row>
        <row r="3">
          <cell r="B3" t="str">
            <v>АЛЄШКО ДМИТРО ВАСИЛЬОВИЧ</v>
          </cell>
          <cell r="C3" t="str">
            <v>2813400672</v>
          </cell>
          <cell r="D3" t="str">
            <v>26256082679001</v>
          </cell>
        </row>
        <row r="4">
          <cell r="B4" t="str">
            <v>АНТОНЕНКОВА ГАЛИНА ОЛЕКСАНДРІВНА</v>
          </cell>
          <cell r="C4" t="str">
            <v>1813115784</v>
          </cell>
          <cell r="D4" t="str">
            <v>26259059955001</v>
          </cell>
        </row>
        <row r="5">
          <cell r="B5" t="str">
            <v>АРЕФЕВА ОЛЬГА ЕВГЕНІЇВНА</v>
          </cell>
          <cell r="C5" t="str">
            <v>2205707827</v>
          </cell>
          <cell r="D5" t="str">
            <v>26253059285001</v>
          </cell>
        </row>
        <row r="6">
          <cell r="B6" t="str">
            <v>АРОНОВА МАРІЯ МИКОЛАЇВНА</v>
          </cell>
          <cell r="C6" t="str">
            <v>2383614047</v>
          </cell>
          <cell r="D6" t="str">
            <v>26251064722001</v>
          </cell>
        </row>
        <row r="7">
          <cell r="B7" t="str">
            <v>АРТЕМЕНКО НАТАЛІЯ МИКОЛАЇВНА</v>
          </cell>
          <cell r="C7" t="str">
            <v>2742305863</v>
          </cell>
          <cell r="D7" t="str">
            <v>26256151005001</v>
          </cell>
        </row>
        <row r="8">
          <cell r="B8" t="str">
            <v>БАГАЛІКА ЛАРИСА ВОЛОДИМИРІВНА</v>
          </cell>
          <cell r="C8" t="str">
            <v>2371206088</v>
          </cell>
          <cell r="D8" t="str">
            <v>26255063086001</v>
          </cell>
        </row>
        <row r="9">
          <cell r="B9" t="str">
            <v>БАДЕЙ ОКСАНА ІГОРІВНА</v>
          </cell>
          <cell r="C9" t="str">
            <v>2841315327</v>
          </cell>
          <cell r="D9" t="str">
            <v>26253147197001</v>
          </cell>
        </row>
        <row r="10">
          <cell r="B10" t="str">
            <v>БАЗИКА ДИМИТРІЙ АНАТОЛІЙОВИЧ</v>
          </cell>
          <cell r="C10" t="str">
            <v>1930415455</v>
          </cell>
          <cell r="D10" t="str">
            <v>26254100100001</v>
          </cell>
        </row>
        <row r="11">
          <cell r="B11" t="str">
            <v>БАНЧУК МИКОЛА ВАСИЛЬОВИЧ</v>
          </cell>
          <cell r="C11" t="str">
            <v>2181417211</v>
          </cell>
          <cell r="D11" t="str">
            <v>26258102911001</v>
          </cell>
        </row>
        <row r="12">
          <cell r="B12" t="str">
            <v>БАРАНОВА ЛАРИСА ОЛЕКСАНДРІВНА</v>
          </cell>
          <cell r="C12" t="str">
            <v>2176919908</v>
          </cell>
          <cell r="D12" t="str">
            <v>26253175910001</v>
          </cell>
        </row>
        <row r="13">
          <cell r="B13" t="str">
            <v>БАРАНОВА ТЕТЯНА ВІКТОРІВНА</v>
          </cell>
          <cell r="C13" t="str">
            <v>1974906824</v>
          </cell>
          <cell r="D13" t="str">
            <v>26256063052001</v>
          </cell>
        </row>
        <row r="14">
          <cell r="B14" t="str">
            <v>БЕЗВЕРХА НАДІЯ ІВАНІВНА</v>
          </cell>
          <cell r="C14" t="str">
            <v>2077315821</v>
          </cell>
          <cell r="D14" t="str">
            <v>26256183578001</v>
          </cell>
        </row>
        <row r="15">
          <cell r="B15" t="str">
            <v>БЕЛЧЕНКО ВАЛЕНТИНА МИХАЙЛІВНА</v>
          </cell>
          <cell r="C15" t="str">
            <v>2094823263</v>
          </cell>
          <cell r="D15" t="str">
            <v>26253067664001</v>
          </cell>
        </row>
        <row r="16">
          <cell r="B16" t="str">
            <v>БЕРЕЖНОВ СЕРГІЙ ПЕТРОВИЧ</v>
          </cell>
          <cell r="C16" t="str">
            <v>1797915097</v>
          </cell>
          <cell r="D16" t="str">
            <v>26257063051001</v>
          </cell>
        </row>
        <row r="17">
          <cell r="B17" t="str">
            <v>БЕРЕЗОВА НАДІЯ АНАТОЛІЇВНА</v>
          </cell>
          <cell r="C17" t="str">
            <v>2927209407</v>
          </cell>
          <cell r="D17" t="str">
            <v>26253102035001</v>
          </cell>
        </row>
        <row r="18">
          <cell r="B18" t="str">
            <v>БЄЛОТЕЛОВ МИКОЛА ГЕОРГІЙОВИЧ</v>
          </cell>
          <cell r="C18" t="str">
            <v>1874405851</v>
          </cell>
          <cell r="D18" t="str">
            <v>26258059945001</v>
          </cell>
        </row>
        <row r="19">
          <cell r="B19" t="str">
            <v>БІЛИЙ ВОЛОДИМИР ЯКОВИЧ</v>
          </cell>
          <cell r="C19" t="str">
            <v>1640205233</v>
          </cell>
          <cell r="D19" t="str">
            <v>26258073879001</v>
          </cell>
        </row>
        <row r="20">
          <cell r="B20" t="str">
            <v>БІЛИЙ ОЛЕКСАНДР ВОЛОДИМИРОВИЧ</v>
          </cell>
          <cell r="C20" t="str">
            <v>2636914178</v>
          </cell>
          <cell r="D20" t="str">
            <v>26256117674001</v>
          </cell>
        </row>
        <row r="21">
          <cell r="B21" t="str">
            <v>БІЛОКОНЬ ГАЛИНА ДЕМЯНІВНА</v>
          </cell>
          <cell r="C21" t="str">
            <v>2239011344</v>
          </cell>
          <cell r="D21" t="str">
            <v>26253071025001</v>
          </cell>
        </row>
        <row r="22">
          <cell r="B22" t="str">
            <v>БІЛОЩИЦЬКА НАТАЛІЯ ОЛЕКСІЇВНА</v>
          </cell>
          <cell r="C22" t="str">
            <v>2754216586</v>
          </cell>
          <cell r="D22" t="str">
            <v>26259148189001</v>
          </cell>
        </row>
        <row r="23">
          <cell r="B23" t="str">
            <v>БОГУСЛАВСЬКА ОЛЕКСАНДРА ІГОРІВНА</v>
          </cell>
          <cell r="C23" t="str">
            <v>2300206004</v>
          </cell>
          <cell r="D23" t="str">
            <v>26258059956001</v>
          </cell>
        </row>
        <row r="24">
          <cell r="B24" t="str">
            <v>БОДНАРУК НАТАЛІЯ МИКОЛАЇВНА</v>
          </cell>
          <cell r="C24" t="str">
            <v>2804908962</v>
          </cell>
          <cell r="D24" t="str">
            <v>26257130887001</v>
          </cell>
        </row>
        <row r="25">
          <cell r="B25" t="str">
            <v>БОЙКО ТЕТЯНА ВІТАЛІЇВНА</v>
          </cell>
          <cell r="C25" t="str">
            <v>2718111924</v>
          </cell>
          <cell r="D25" t="str">
            <v>26250064723001</v>
          </cell>
        </row>
        <row r="26">
          <cell r="B26" t="str">
            <v>БОЙЧУК ТАРАС МИКОЛАЙОВИЧ</v>
          </cell>
          <cell r="C26" t="str">
            <v>2418203476</v>
          </cell>
          <cell r="D26" t="str">
            <v>26255085086001</v>
          </cell>
        </row>
        <row r="27">
          <cell r="B27" t="str">
            <v>БОНДАРЕНКО ВОЛОДИМИР ВАСИЛЬОВИЧ</v>
          </cell>
          <cell r="C27" t="str">
            <v>1868104835</v>
          </cell>
          <cell r="D27" t="str">
            <v>26255147689001</v>
          </cell>
        </row>
        <row r="28">
          <cell r="B28" t="str">
            <v>БОРИШКЕВИЧ ЛАРИСА МИХАЙЛІВНА</v>
          </cell>
          <cell r="C28" t="str">
            <v>2180505242</v>
          </cell>
          <cell r="D28" t="str">
            <v>26252189037001</v>
          </cell>
        </row>
        <row r="29">
          <cell r="B29" t="str">
            <v>БУДНІК НЕЛЯ ЛЕОНІДІВНА</v>
          </cell>
          <cell r="C29" t="str">
            <v>2231516248</v>
          </cell>
          <cell r="D29" t="str">
            <v>26255061572001</v>
          </cell>
        </row>
        <row r="30">
          <cell r="B30" t="str">
            <v>БУЛАВКА ЛЮДМИЛА ВАСИЛІВНА</v>
          </cell>
          <cell r="C30" t="str">
            <v>1975013494</v>
          </cell>
          <cell r="D30" t="str">
            <v>26258059967001</v>
          </cell>
        </row>
        <row r="31">
          <cell r="B31" t="str">
            <v>БУРЛАК ГАЛИНА ФЕДОРІВНА</v>
          </cell>
          <cell r="C31" t="str">
            <v>1730405584</v>
          </cell>
          <cell r="D31" t="str">
            <v>26250059288001</v>
          </cell>
        </row>
        <row r="32">
          <cell r="B32" t="str">
            <v>БУТИЛЬСЬКА НЕЛЯ ОЛЕКСАНДРІВНА</v>
          </cell>
          <cell r="C32" t="str">
            <v>2488514283</v>
          </cell>
          <cell r="D32" t="str">
            <v>26254126065001</v>
          </cell>
        </row>
        <row r="33">
          <cell r="B33" t="str">
            <v>ВАКУЛЕНКО ЛЮДМИЛА ЛЕОНІДІВНА</v>
          </cell>
          <cell r="C33" t="str">
            <v>2526105048</v>
          </cell>
          <cell r="D33" t="str">
            <v>26254059938001</v>
          </cell>
        </row>
        <row r="34">
          <cell r="B34" t="str">
            <v>ВАРФОЛОМЄЄВА ТЕТЯНА ОЛЕКСАНДРІВНА</v>
          </cell>
          <cell r="C34" t="str">
            <v>3041314682</v>
          </cell>
          <cell r="D34" t="str">
            <v>26253126066001</v>
          </cell>
        </row>
        <row r="35">
          <cell r="B35" t="str">
            <v>ВАСИЛИШИН РОМАН ЙОСИФОВИЧ</v>
          </cell>
          <cell r="C35" t="str">
            <v>2241416152</v>
          </cell>
          <cell r="D35" t="str">
            <v>26250135544001</v>
          </cell>
        </row>
        <row r="36">
          <cell r="B36" t="str">
            <v>ВАСЯНІН АНДРІЙ ОЛЕКСАНДРОВИЧ</v>
          </cell>
          <cell r="C36" t="str">
            <v>2234906574</v>
          </cell>
          <cell r="D36" t="str">
            <v>26252061564001</v>
          </cell>
        </row>
        <row r="37">
          <cell r="B37" t="str">
            <v>ВЕЛИЧКО ІРИНА МИКОЛАЇВНА</v>
          </cell>
          <cell r="C37" t="str">
            <v>2301407664</v>
          </cell>
          <cell r="D37" t="str">
            <v>26255063075001</v>
          </cell>
        </row>
        <row r="38">
          <cell r="B38" t="str">
            <v>ВЕРЗУН ТЕТЯНА ПЕТРІВНА</v>
          </cell>
          <cell r="C38" t="str">
            <v>2195307649</v>
          </cell>
          <cell r="D38" t="str">
            <v>26257063040001</v>
          </cell>
        </row>
        <row r="39">
          <cell r="B39" t="str">
            <v>ВЕСЕЛЬСЬКИЙ ВІКТОР ЛЕОНІДОВИЧ</v>
          </cell>
          <cell r="C39" t="str">
            <v>2075212634</v>
          </cell>
          <cell r="D39" t="str">
            <v>26254140449001</v>
          </cell>
        </row>
        <row r="40">
          <cell r="B40" t="str">
            <v>ВИДОЛОБ ТЕТЯНА ВАСИЛІВНА</v>
          </cell>
          <cell r="C40" t="str">
            <v>2071106642</v>
          </cell>
          <cell r="D40" t="str">
            <v>26254117676001</v>
          </cell>
        </row>
        <row r="41">
          <cell r="B41" t="str">
            <v>ВИШНЬОВА СВІТЛАНА МИХАЙЛІВНА</v>
          </cell>
          <cell r="C41" t="str">
            <v>1687404029</v>
          </cell>
          <cell r="D41" t="str">
            <v>26258063072001</v>
          </cell>
        </row>
        <row r="42">
          <cell r="B42" t="str">
            <v>ВОВК МАРІЯ ГРИГОРІВНА</v>
          </cell>
          <cell r="C42" t="str">
            <v>1847801241</v>
          </cell>
          <cell r="D42" t="str">
            <v>26252071026001</v>
          </cell>
        </row>
        <row r="43">
          <cell r="B43" t="str">
            <v>ВОВК РІТА ВОЛОДИМИРІВНА</v>
          </cell>
          <cell r="C43" t="str">
            <v>2334802047</v>
          </cell>
          <cell r="D43" t="str">
            <v>26256063041001</v>
          </cell>
        </row>
        <row r="44">
          <cell r="B44" t="str">
            <v>ВОЛІКОВ ВОЛОДИМИР ГЕННАДІЙОВИЧ</v>
          </cell>
          <cell r="C44" t="str">
            <v>2686317093</v>
          </cell>
          <cell r="D44" t="str">
            <v>26255059272001</v>
          </cell>
        </row>
        <row r="45">
          <cell r="B45" t="str">
            <v>ВОЛОДІНА ІРИНА АНАТОЛІЇВНА</v>
          </cell>
          <cell r="C45" t="str">
            <v>2521611641</v>
          </cell>
          <cell r="D45" t="str">
            <v>26251145317001</v>
          </cell>
        </row>
        <row r="46">
          <cell r="B46" t="str">
            <v>ВОЛОСОВЕЦЬ ІРИНА ПЕТРІВНА</v>
          </cell>
          <cell r="C46" t="str">
            <v>2672515006</v>
          </cell>
          <cell r="D46" t="str">
            <v>26250067667001</v>
          </cell>
        </row>
        <row r="47">
          <cell r="B47" t="str">
            <v>ВОЛОСОВЕЦЬ ОЛЕКСАНДР ПЕТРОВИЧ</v>
          </cell>
          <cell r="C47" t="str">
            <v>2254912892</v>
          </cell>
          <cell r="D47" t="str">
            <v>26258059279001</v>
          </cell>
        </row>
        <row r="48">
          <cell r="B48" t="str">
            <v>ВОРСОВСЬКА ЛЮДМИЛА АНАТОЛІЇВНА</v>
          </cell>
          <cell r="C48" t="str">
            <v>1858006406</v>
          </cell>
          <cell r="D48" t="str">
            <v>26255061561001</v>
          </cell>
        </row>
        <row r="49">
          <cell r="B49" t="str">
            <v>ГАБОРЕЦЬ ІВАН ВАСИЛЬОВИЧ</v>
          </cell>
          <cell r="C49" t="str">
            <v>2619902330</v>
          </cell>
          <cell r="D49" t="str">
            <v>26258130886001</v>
          </cell>
        </row>
        <row r="50">
          <cell r="B50" t="str">
            <v>ГАВРИЛЕНКО ЛІДІЯ ІЛЛІВНА</v>
          </cell>
          <cell r="C50" t="str">
            <v>1943407161</v>
          </cell>
          <cell r="D50" t="str">
            <v>26257063062001</v>
          </cell>
        </row>
        <row r="51">
          <cell r="B51" t="str">
            <v>ГАВРИЛЬЧЕНКО АНДРІЙ ВІТАЛІЙОВИЧ</v>
          </cell>
          <cell r="C51" t="str">
            <v>2852907156</v>
          </cell>
          <cell r="D51" t="str">
            <v>26252190543001</v>
          </cell>
        </row>
        <row r="52">
          <cell r="B52" t="str">
            <v>ГАЖАМАН ТЕТЯНА ОЛЕКСАНДРІВНА</v>
          </cell>
          <cell r="C52" t="str">
            <v>2433610745</v>
          </cell>
          <cell r="D52" t="str">
            <v>26251067666001</v>
          </cell>
        </row>
        <row r="53">
          <cell r="B53" t="str">
            <v>ГАЙДАЄВ ЮРІЙ ОЛЕКСАНДРОВИЧ</v>
          </cell>
          <cell r="C53" t="str">
            <v>1994917136</v>
          </cell>
          <cell r="D53" t="str">
            <v>26257143915001</v>
          </cell>
        </row>
        <row r="54">
          <cell r="B54" t="str">
            <v>ГАЛІМСЬКИЙ ОЛЕКСІЙ ВАЛЕРІЙОВИЧ</v>
          </cell>
          <cell r="C54" t="str">
            <v>2852708579</v>
          </cell>
          <cell r="D54" t="str">
            <v>26253117677001</v>
          </cell>
        </row>
        <row r="55">
          <cell r="B55" t="str">
            <v>ГАСЮК ГАЛИНА ІГОРІВНА</v>
          </cell>
          <cell r="C55" t="str">
            <v>2926018325</v>
          </cell>
          <cell r="D55" t="str">
            <v>26254102034001</v>
          </cell>
        </row>
        <row r="56">
          <cell r="B56" t="str">
            <v>ГЛОГОВ'ЯК ОЛЬГА ВАСИЛІВНА</v>
          </cell>
          <cell r="C56" t="str">
            <v>2141814768</v>
          </cell>
          <cell r="D56" t="str">
            <v>26255121393001</v>
          </cell>
        </row>
        <row r="57">
          <cell r="B57" t="str">
            <v>ГОНТА ТЕТЯНА МИКОЛАЇВНА</v>
          </cell>
          <cell r="C57" t="str">
            <v>2063620040</v>
          </cell>
          <cell r="D57" t="str">
            <v>26256061559001</v>
          </cell>
        </row>
        <row r="58">
          <cell r="B58" t="str">
            <v>ГОНЧАРУК ОЛЬГА БОРИСІВНА</v>
          </cell>
          <cell r="C58" t="str">
            <v>2237204207</v>
          </cell>
          <cell r="D58" t="str">
            <v>26259063060001</v>
          </cell>
        </row>
        <row r="59">
          <cell r="B59" t="str">
            <v>ГОРБАНЬ ЄВГЕН МИКОЛАЙОВИЧ</v>
          </cell>
          <cell r="C59" t="str">
            <v>1638702958</v>
          </cell>
          <cell r="D59" t="str">
            <v>26256067661001</v>
          </cell>
        </row>
        <row r="60">
          <cell r="B60" t="str">
            <v>ГОСТИЩЕВ ДМИТРО АНАТОЛІЙОВИЧ</v>
          </cell>
          <cell r="C60" t="str">
            <v>2929219871</v>
          </cell>
          <cell r="D60" t="str">
            <v>26255074774001</v>
          </cell>
        </row>
        <row r="61">
          <cell r="B61" t="str">
            <v>ГРИГОРЕНКО АЛЛА АНАТОЛІЇВНА</v>
          </cell>
          <cell r="C61" t="str">
            <v>2192313023</v>
          </cell>
          <cell r="D61" t="str">
            <v>26250073877001</v>
          </cell>
        </row>
        <row r="62">
          <cell r="B62" t="str">
            <v>ГРИГОРОВИЧ ВАСИЛЬ РОМАНОВИЧ</v>
          </cell>
          <cell r="C62" t="str">
            <v>2078118438</v>
          </cell>
          <cell r="D62" t="str">
            <v>26257061570001</v>
          </cell>
        </row>
        <row r="63">
          <cell r="B63" t="str">
            <v>ГУСЕЛЕТОВА НАТАЛІЯ ВОЛОДИМИРІВНА</v>
          </cell>
          <cell r="C63" t="str">
            <v>1857415385</v>
          </cell>
          <cell r="D63" t="str">
            <v>26250074661001</v>
          </cell>
        </row>
        <row r="64">
          <cell r="B64" t="str">
            <v>ДАХНЮК ІРИНА ЄВГЕНІВНА</v>
          </cell>
          <cell r="C64" t="str">
            <v>2158103468</v>
          </cell>
          <cell r="D64" t="str">
            <v>26251059953001</v>
          </cell>
        </row>
        <row r="65">
          <cell r="B65" t="str">
            <v>ДЕГТЯРЕВА РАЇСА МИХАЙЛІВНА</v>
          </cell>
          <cell r="C65" t="str">
            <v>2213409742</v>
          </cell>
          <cell r="D65" t="str">
            <v>26257073881001</v>
          </cell>
        </row>
        <row r="66">
          <cell r="B66" t="str">
            <v>ДЕНИСЕНКО ГАЛИНА АНАТОЛІЇВНА</v>
          </cell>
          <cell r="C66" t="str">
            <v>2078116844</v>
          </cell>
          <cell r="D66" t="str">
            <v>26259061567001</v>
          </cell>
        </row>
        <row r="67">
          <cell r="B67" t="str">
            <v>ДЕРЕБАСОВ ОЛЕКСАНДР ВІКТОРОВИЧ</v>
          </cell>
          <cell r="C67" t="str">
            <v>2028318234</v>
          </cell>
          <cell r="D67" t="str">
            <v>26252107406001</v>
          </cell>
        </row>
        <row r="68">
          <cell r="B68" t="str">
            <v>ДЕРИБОН ОЛЕНА ЛЕОНІДІВНА</v>
          </cell>
          <cell r="C68" t="str">
            <v>2716220682</v>
          </cell>
          <cell r="D68" t="str">
            <v>26253081918001</v>
          </cell>
        </row>
        <row r="69">
          <cell r="B69" t="str">
            <v>ДЗЮБА ОЛЕКСАНДР МИКОЛАЙОВИЧ</v>
          </cell>
          <cell r="C69" t="str">
            <v>2081309555</v>
          </cell>
          <cell r="D69" t="str">
            <v>26251088388001</v>
          </cell>
        </row>
        <row r="70">
          <cell r="B70" t="str">
            <v>ДИШЛОВИЙ ІГОР МИКОЛАЙОВИЧ</v>
          </cell>
          <cell r="C70" t="str">
            <v>2241501857</v>
          </cell>
          <cell r="D70" t="str">
            <v>26258063083001</v>
          </cell>
        </row>
        <row r="71">
          <cell r="B71" t="str">
            <v>ДОЛОТ ВОЛОДИМИР ДЕНИСОВИЧ</v>
          </cell>
          <cell r="C71" t="str">
            <v>2162706458</v>
          </cell>
          <cell r="D71" t="str">
            <v>26250067656001</v>
          </cell>
        </row>
        <row r="72">
          <cell r="B72" t="str">
            <v>ДОМБРОВСЬКА ВАЛЕНТИНА ВАСИЛІВНА</v>
          </cell>
          <cell r="C72" t="str">
            <v>1934803161</v>
          </cell>
          <cell r="D72" t="str">
            <v>26252067654001</v>
          </cell>
        </row>
        <row r="73">
          <cell r="B73" t="str">
            <v>ДУШ ІРИНА АНДРІЇВНА</v>
          </cell>
          <cell r="C73" t="str">
            <v>2085109322</v>
          </cell>
          <cell r="D73" t="str">
            <v>26254063043001</v>
          </cell>
        </row>
        <row r="74">
          <cell r="B74" t="str">
            <v>ДЯК ЮЛІЯ МИХАЙЛІВНА</v>
          </cell>
          <cell r="C74" t="str">
            <v>2794417520</v>
          </cell>
          <cell r="D74" t="str">
            <v>26252121136001</v>
          </cell>
        </row>
        <row r="75">
          <cell r="B75" t="str">
            <v>ДЯЧЕНКО НАТАЛІЯ ВАСИЛІВНА</v>
          </cell>
          <cell r="C75" t="str">
            <v>2014707522</v>
          </cell>
          <cell r="D75" t="str">
            <v>26254063065001</v>
          </cell>
        </row>
        <row r="76">
          <cell r="B76" t="str">
            <v>ЄМЕЦЬ МАРІЯ АДАМІВНА</v>
          </cell>
          <cell r="C76" t="str">
            <v>1863703328</v>
          </cell>
          <cell r="D76" t="str">
            <v>26257059968001</v>
          </cell>
        </row>
        <row r="77">
          <cell r="B77" t="str">
            <v>ЄМЕЦЬ ПЕТРО ВОЛОДИМИРОВИЧ</v>
          </cell>
          <cell r="C77" t="str">
            <v>2966609017</v>
          </cell>
          <cell r="D77" t="str">
            <v>26251107407001</v>
          </cell>
        </row>
        <row r="78">
          <cell r="B78" t="str">
            <v>ЄФІМЕНКО ОЛЕНА ВОЛОДИМИРІВНА</v>
          </cell>
          <cell r="C78" t="str">
            <v>2313714666</v>
          </cell>
          <cell r="D78" t="str">
            <v>26252076515001</v>
          </cell>
        </row>
        <row r="79">
          <cell r="B79" t="str">
            <v>ЖАРОВА ДАР'Я ОЛЕКСАНДРІВНА</v>
          </cell>
          <cell r="C79" t="str">
            <v>2975612901</v>
          </cell>
          <cell r="D79" t="str">
            <v>26259151723001</v>
          </cell>
        </row>
        <row r="80">
          <cell r="B80" t="str">
            <v>ЖДАНОВА МИРОСЛАВА ПЕТРІВНА</v>
          </cell>
          <cell r="C80" t="str">
            <v>2006314467</v>
          </cell>
          <cell r="D80" t="str">
            <v>26259067668001</v>
          </cell>
        </row>
        <row r="81">
          <cell r="B81" t="str">
            <v>ЖИЛКА НАДІЯ ЯКІВНА</v>
          </cell>
          <cell r="C81" t="str">
            <v>2053307045</v>
          </cell>
          <cell r="D81" t="str">
            <v>26254059972001</v>
          </cell>
        </row>
        <row r="82">
          <cell r="B82" t="str">
            <v>ЖОВТУХА МИРОСЛАВА АНДРІЇВНА</v>
          </cell>
          <cell r="C82" t="str">
            <v>1916907201</v>
          </cell>
          <cell r="D82" t="str">
            <v>26254061562001</v>
          </cell>
        </row>
        <row r="83">
          <cell r="B83" t="str">
            <v>ЗАГОРОДНІЙ ВОЛОДИМИР ВАСИЛЬОВИЧ</v>
          </cell>
          <cell r="C83" t="str">
            <v>1818411071</v>
          </cell>
          <cell r="D83" t="str">
            <v>26253071274001</v>
          </cell>
        </row>
        <row r="84">
          <cell r="B84" t="str">
            <v>ЗАЛАТА ОЛЕГ АНАТОЛІЙОВИЧ</v>
          </cell>
          <cell r="C84" t="str">
            <v>2421701697</v>
          </cell>
          <cell r="D84" t="str">
            <v>26257071269001</v>
          </cell>
        </row>
        <row r="85">
          <cell r="B85" t="str">
            <v>ЗАЛЕВСЬКА ВАЛЕНТИНА АНАНІЇВНА</v>
          </cell>
          <cell r="C85" t="str">
            <v>2035915704</v>
          </cell>
          <cell r="D85" t="str">
            <v>26252063045001</v>
          </cell>
        </row>
        <row r="86">
          <cell r="B86" t="str">
            <v>ЗАЧЕК ЛЮБОВ МИКОЛАПВНА</v>
          </cell>
          <cell r="C86" t="str">
            <v>1917602520</v>
          </cell>
          <cell r="D86" t="str">
            <v>26255081916001</v>
          </cell>
        </row>
        <row r="87">
          <cell r="B87" t="str">
            <v>ЗЕЛІНСЬКИЙ АНДРІЙ МИКОЛАЙОВИЧ</v>
          </cell>
          <cell r="C87" t="str">
            <v>2983512293</v>
          </cell>
          <cell r="D87" t="str">
            <v>26252088495001</v>
          </cell>
        </row>
        <row r="88">
          <cell r="B88" t="str">
            <v>ЗІНКОВСЬКИЙ МИХАЙЛО ФРАНЦЕВИЧ</v>
          </cell>
          <cell r="C88" t="str">
            <v>1382810958</v>
          </cell>
          <cell r="D88" t="str">
            <v>26258074663001</v>
          </cell>
        </row>
        <row r="89">
          <cell r="B89" t="str">
            <v>ЗІНЧЕНКО ОЛЕНА МИКОЛАЇВНА</v>
          </cell>
          <cell r="C89" t="str">
            <v>2661000329</v>
          </cell>
          <cell r="D89" t="str">
            <v>26256143916001</v>
          </cell>
        </row>
        <row r="90">
          <cell r="B90" t="str">
            <v>ЗОЗУЛЯ ЛАРИСА МИКОЛАЇВНА</v>
          </cell>
          <cell r="C90" t="str">
            <v>1865503982</v>
          </cell>
          <cell r="D90" t="str">
            <v>26256059969001</v>
          </cell>
        </row>
        <row r="91">
          <cell r="B91" t="str">
            <v>ЗРЕЗАРЦЕВ МАКСИМ БОРИСОВИЧ</v>
          </cell>
          <cell r="C91" t="str">
            <v>2285403638</v>
          </cell>
          <cell r="D91" t="str">
            <v>26254071273001</v>
          </cell>
        </row>
        <row r="92">
          <cell r="B92" t="str">
            <v>ЗУБКО ОЛЕНА АНДРІЇВНА</v>
          </cell>
          <cell r="C92" t="str">
            <v>2074303764</v>
          </cell>
          <cell r="D92" t="str">
            <v>26254059284001</v>
          </cell>
        </row>
        <row r="93">
          <cell r="B93" t="str">
            <v>ІВАНКІВ РОМАН ІВАНОВИЧ</v>
          </cell>
          <cell r="C93" t="str">
            <v>2415509934</v>
          </cell>
          <cell r="D93" t="str">
            <v>26254059949001</v>
          </cell>
        </row>
        <row r="94">
          <cell r="B94" t="str">
            <v>ІВАСЮК ВАЛЕРІЙ ПЕТРОВИЧ</v>
          </cell>
          <cell r="C94" t="str">
            <v>2144106613</v>
          </cell>
          <cell r="D94" t="str">
            <v>26255145926001</v>
          </cell>
        </row>
        <row r="95">
          <cell r="B95" t="str">
            <v>ІВЧУК ВОЛОДИМИР ГРИГОРОВИЧ</v>
          </cell>
          <cell r="C95" t="str">
            <v>2567211612</v>
          </cell>
          <cell r="D95" t="str">
            <v>26257150362001</v>
          </cell>
        </row>
        <row r="96">
          <cell r="B96" t="str">
            <v>ІЛЯШОВА СВІТЛАНА ІВАНІВНА</v>
          </cell>
          <cell r="C96" t="str">
            <v>2328706865</v>
          </cell>
          <cell r="D96" t="str">
            <v>26258187260001</v>
          </cell>
        </row>
        <row r="97">
          <cell r="B97" t="str">
            <v>КАЛИТА ІРИНА АЛІМІВНА</v>
          </cell>
          <cell r="C97" t="str">
            <v>2500315681</v>
          </cell>
          <cell r="D97" t="str">
            <v>26257151855001</v>
          </cell>
        </row>
        <row r="98">
          <cell r="B98" t="str">
            <v>КАПУСТЯК ВАСИЛЬ ІВАНОВИЧ</v>
          </cell>
          <cell r="C98" t="str">
            <v>2406702858</v>
          </cell>
          <cell r="D98" t="str">
            <v>26254063054001</v>
          </cell>
        </row>
        <row r="99">
          <cell r="B99" t="str">
            <v>КАРАМУШКА ЛАРИСА ІЛЛІВНА</v>
          </cell>
          <cell r="C99" t="str">
            <v>2068808542</v>
          </cell>
          <cell r="D99" t="str">
            <v>26251073876001</v>
          </cell>
        </row>
        <row r="100">
          <cell r="B100" t="str">
            <v>КАРНАУХОВА ТЕТЯНА ВОЛОДИМИРІВНА</v>
          </cell>
          <cell r="C100" t="str">
            <v>2363205487</v>
          </cell>
          <cell r="D100" t="str">
            <v>26257063073001</v>
          </cell>
        </row>
        <row r="101">
          <cell r="B101" t="str">
            <v>КАРПІНСЬКА ЛЕСЯ ГРИГОРІВНА</v>
          </cell>
          <cell r="C101" t="str">
            <v>2162003168</v>
          </cell>
          <cell r="D101" t="str">
            <v>26253178478001</v>
          </cell>
        </row>
        <row r="102">
          <cell r="B102" t="str">
            <v>КАШТАЛЬЯН МАРИНА МИХАЙЛІВНА</v>
          </cell>
          <cell r="C102" t="str">
            <v>2884707265</v>
          </cell>
          <cell r="D102" t="str">
            <v>26251190544001</v>
          </cell>
        </row>
        <row r="103">
          <cell r="B103" t="str">
            <v>КВАРТИЧ ІРИНА МИКОЛАЇВНА</v>
          </cell>
          <cell r="C103" t="str">
            <v>2307613226</v>
          </cell>
          <cell r="D103" t="str">
            <v>26258063050001</v>
          </cell>
        </row>
        <row r="104">
          <cell r="B104" t="str">
            <v>КЕБКАЛО ТАМАРА ВАСИЛІВНА</v>
          </cell>
          <cell r="C104" t="str">
            <v>1716746302</v>
          </cell>
          <cell r="D104" t="str">
            <v>26258059280001</v>
          </cell>
        </row>
        <row r="105">
          <cell r="B105" t="str">
            <v>КІРІЧЕНКО НІНА СТЕПАНІВНА</v>
          </cell>
          <cell r="C105" t="str">
            <v>2039706585</v>
          </cell>
          <cell r="D105" t="str">
            <v>26256059970001</v>
          </cell>
        </row>
        <row r="106">
          <cell r="B106" t="str">
            <v>КІТУАШВІЛІ ЛАРИСА ІВАНІВНА</v>
          </cell>
          <cell r="C106" t="str">
            <v>2606618543</v>
          </cell>
          <cell r="D106" t="str">
            <v>26252117162001</v>
          </cell>
        </row>
        <row r="107">
          <cell r="B107" t="str">
            <v>КЛИМАК АНТОН АНАТОЛІЙОВИЧ</v>
          </cell>
          <cell r="C107" t="str">
            <v>3035803758</v>
          </cell>
          <cell r="D107" t="str">
            <v>26259128916001</v>
          </cell>
        </row>
        <row r="108">
          <cell r="B108" t="str">
            <v>КЛІШЕВИЧ ІГОР ПАВЛОВИЧ</v>
          </cell>
          <cell r="C108" t="str">
            <v>1735005176</v>
          </cell>
          <cell r="D108" t="str">
            <v>26256059958001</v>
          </cell>
        </row>
        <row r="109">
          <cell r="B109" t="str">
            <v>КЛОПЕНКО ГАННА ІВАНІВНА</v>
          </cell>
          <cell r="C109" t="str">
            <v>2385307208</v>
          </cell>
          <cell r="D109" t="str">
            <v>26250063058001</v>
          </cell>
        </row>
        <row r="110">
          <cell r="B110" t="str">
            <v>КЛОЧЕНКО ІГОР ВАСИЛЬОВИЧ</v>
          </cell>
          <cell r="C110" t="str">
            <v>2380210795</v>
          </cell>
          <cell r="D110" t="str">
            <v>26259145319001</v>
          </cell>
        </row>
        <row r="111">
          <cell r="B111" t="str">
            <v>КОВАЛЕНКО ОЛЬГА ФЕДОРІВНА</v>
          </cell>
          <cell r="C111" t="str">
            <v>2083514483</v>
          </cell>
          <cell r="D111" t="str">
            <v>26251061576001</v>
          </cell>
        </row>
        <row r="112">
          <cell r="B112" t="str">
            <v>КОВАЛЕНКО ТЕТЯНА ОЛЕКСАНДРІВНА</v>
          </cell>
          <cell r="C112" t="str">
            <v>1949307729</v>
          </cell>
          <cell r="D112" t="str">
            <v>26256059271001</v>
          </cell>
        </row>
        <row r="113">
          <cell r="B113" t="str">
            <v>КОВАЛЬСЬКА НАТАЛІЯ ВОЛОДИМИРІВНА</v>
          </cell>
          <cell r="C113" t="str">
            <v>2832401764</v>
          </cell>
          <cell r="D113" t="str">
            <v>26259063071001</v>
          </cell>
        </row>
        <row r="114">
          <cell r="B114" t="str">
            <v>КОВАЛЬЧУК ГАЛИНА СЕМЕНІВНА</v>
          </cell>
          <cell r="C114" t="str">
            <v>1719006743</v>
          </cell>
          <cell r="D114" t="str">
            <v>26252059286001</v>
          </cell>
        </row>
        <row r="115">
          <cell r="B115" t="str">
            <v>КОВАЛЬЧУК МАРІЯ ВАСИЛІВНА</v>
          </cell>
          <cell r="C115" t="str">
            <v>2351306148</v>
          </cell>
          <cell r="D115" t="str">
            <v>26255063064001</v>
          </cell>
        </row>
        <row r="116">
          <cell r="B116" t="str">
            <v>КОВАЛЬЧУК ОЛЕКСАНДР ПЕТРОВИЧ</v>
          </cell>
          <cell r="C116" t="str">
            <v>2851620973</v>
          </cell>
          <cell r="D116" t="str">
            <v>26259088391001</v>
          </cell>
        </row>
        <row r="117">
          <cell r="B117" t="str">
            <v>КОГУТ ОКСАНА ПАВЛІВНА</v>
          </cell>
          <cell r="C117" t="str">
            <v>2236318508</v>
          </cell>
          <cell r="D117" t="str">
            <v>26254067663001</v>
          </cell>
        </row>
        <row r="118">
          <cell r="B118" t="str">
            <v>КОЛЕСНИК СВІТЛАНА ІВАНІВНА</v>
          </cell>
          <cell r="C118" t="str">
            <v>2662017548</v>
          </cell>
          <cell r="D118" t="str">
            <v>26259063059001</v>
          </cell>
        </row>
        <row r="119">
          <cell r="B119" t="str">
            <v>КОЛЛЯКОВ РОМАН ОЛЕКСІЙОВИЧ</v>
          </cell>
          <cell r="C119" t="str">
            <v>2908909577</v>
          </cell>
          <cell r="D119" t="str">
            <v>26252189714001</v>
          </cell>
        </row>
        <row r="120">
          <cell r="B120" t="str">
            <v>КОЛЛЯКОВА ОЛЬГА МИХАЙЛІВНА</v>
          </cell>
          <cell r="C120" t="str">
            <v>2008011805</v>
          </cell>
          <cell r="D120" t="str">
            <v>26258067658001</v>
          </cell>
        </row>
        <row r="121">
          <cell r="B121" t="str">
            <v>КОМАНДИШКО ОЛЕГ УСТИНОВИЧ</v>
          </cell>
          <cell r="C121" t="str">
            <v>1796103553</v>
          </cell>
          <cell r="D121" t="str">
            <v>26253076514001</v>
          </cell>
        </row>
        <row r="122">
          <cell r="B122" t="str">
            <v>КОМАРОВ МИХАЙЛО ПЕТРОВИЧ</v>
          </cell>
          <cell r="C122" t="str">
            <v>2350402810</v>
          </cell>
          <cell r="D122" t="str">
            <v>26251067655001</v>
          </cell>
        </row>
        <row r="123">
          <cell r="B123" t="str">
            <v>КОНДРАШОВА ЮЛІЯ ЮРІЇВНА</v>
          </cell>
          <cell r="C123" t="str">
            <v>3014716961</v>
          </cell>
          <cell r="D123" t="str">
            <v>26258100098001</v>
          </cell>
        </row>
        <row r="124">
          <cell r="B124" t="str">
            <v>КОНОНЕНКО ХРИСТИНА ВІКТОРІВНА</v>
          </cell>
          <cell r="C124" t="str">
            <v>3017117601</v>
          </cell>
          <cell r="D124" t="str">
            <v>26254081917001</v>
          </cell>
        </row>
        <row r="125">
          <cell r="B125" t="str">
            <v>КОНОПЕЛЬКО ОЛЕНА ГЕОРГІЇВНА</v>
          </cell>
          <cell r="C125" t="str">
            <v>2381603245</v>
          </cell>
          <cell r="D125" t="str">
            <v>26258118701001</v>
          </cell>
        </row>
        <row r="126">
          <cell r="B126" t="str">
            <v>КОРНІЄНКО МИКОЛА МИКОЛАЙОВИЧ</v>
          </cell>
          <cell r="C126" t="str">
            <v>1958602213</v>
          </cell>
          <cell r="D126" t="str">
            <v>26257071270001</v>
          </cell>
        </row>
        <row r="127">
          <cell r="B127" t="str">
            <v>КОРОЛЬ АНДРІЙ ОЛЕКСІЙОВИЧ</v>
          </cell>
          <cell r="C127" t="str">
            <v>2350203110</v>
          </cell>
          <cell r="D127" t="str">
            <v>26259116713001</v>
          </cell>
        </row>
        <row r="128">
          <cell r="B128" t="str">
            <v>КОРОЛЬ ОЛЕНА ВОЛОДИМИРІВНА</v>
          </cell>
          <cell r="C128" t="str">
            <v>2885600968</v>
          </cell>
          <cell r="D128" t="str">
            <v>26254181442001</v>
          </cell>
        </row>
        <row r="129">
          <cell r="B129" t="str">
            <v>КОСИНСЬКА НАТАЛІЯ РОСТИСЛАВІВНА</v>
          </cell>
          <cell r="C129" t="str">
            <v>2806106903</v>
          </cell>
          <cell r="D129" t="str">
            <v>26252128968001</v>
          </cell>
        </row>
        <row r="130">
          <cell r="B130" t="str">
            <v>КОСТЮЧЕНКО НІНА МИКОЛАЇВНА</v>
          </cell>
          <cell r="C130" t="str">
            <v>2666010687</v>
          </cell>
          <cell r="D130" t="str">
            <v>26252059963001</v>
          </cell>
        </row>
        <row r="131">
          <cell r="B131" t="str">
            <v>КОЧЕТ ОЛЕКСАНДР МИХАЙЛОВИЧ</v>
          </cell>
          <cell r="C131" t="str">
            <v>2095713903</v>
          </cell>
          <cell r="D131" t="str">
            <v>26251135543001</v>
          </cell>
        </row>
        <row r="132">
          <cell r="B132" t="str">
            <v>КРАВЧЕНКО ВОЛОДИМИР</v>
          </cell>
          <cell r="C132" t="str">
            <v>2018910237</v>
          </cell>
          <cell r="D132" t="str">
            <v>26258067647001</v>
          </cell>
        </row>
        <row r="133">
          <cell r="B133" t="str">
            <v>КРАМСЬКА НАТАЛІЯ МИКОЛАЇВНА</v>
          </cell>
          <cell r="C133" t="str">
            <v>2001115889</v>
          </cell>
          <cell r="D133" t="str">
            <v>26251063068001</v>
          </cell>
        </row>
        <row r="134">
          <cell r="B134" t="str">
            <v>КРАСНОЖОН ЛЮДМИЛА МИКОЛАЇВНА</v>
          </cell>
          <cell r="C134" t="str">
            <v>1967803341</v>
          </cell>
          <cell r="D134" t="str">
            <v>26259059278001</v>
          </cell>
        </row>
        <row r="135">
          <cell r="B135" t="str">
            <v>КРАСНОЩОК АНДРІЙ ІВАНОВИЧ</v>
          </cell>
          <cell r="C135" t="str">
            <v>2559815398</v>
          </cell>
          <cell r="D135" t="str">
            <v>26252059275001</v>
          </cell>
        </row>
        <row r="136">
          <cell r="B136" t="str">
            <v>КРИВЕНКО ЛЮДМИЛА ЛЕОНІДІВНА</v>
          </cell>
          <cell r="C136" t="str">
            <v>1953111906</v>
          </cell>
          <cell r="D136" t="str">
            <v>26250063069001</v>
          </cell>
        </row>
        <row r="137">
          <cell r="B137" t="str">
            <v>КРОХМАЛЮК ЛЮБОМИР ВАЛЕРІЙОВИЧ</v>
          </cell>
          <cell r="C137" t="str">
            <v>2927211076</v>
          </cell>
          <cell r="D137" t="str">
            <v>26259145320001</v>
          </cell>
        </row>
        <row r="138">
          <cell r="B138" t="str">
            <v>КРУТІКОВ ДМИТРО СЕРГІЙОВИЧ</v>
          </cell>
          <cell r="C138" t="str">
            <v>2878100390</v>
          </cell>
          <cell r="D138" t="str">
            <v>26257187261001</v>
          </cell>
        </row>
        <row r="139">
          <cell r="B139" t="str">
            <v>КУДЛАЙ ОЛЬГА ПИЛИПІВНА</v>
          </cell>
          <cell r="C139" t="str">
            <v>1835916103</v>
          </cell>
          <cell r="D139" t="str">
            <v>26251071027001</v>
          </cell>
        </row>
        <row r="140">
          <cell r="B140" t="str">
            <v>КУЗИМЧАК ТЕТЯНА ВОЛОДИМИРІВНА</v>
          </cell>
          <cell r="C140" t="str">
            <v>2900522147</v>
          </cell>
          <cell r="D140" t="str">
            <v>26255121133001</v>
          </cell>
        </row>
        <row r="141">
          <cell r="B141" t="str">
            <v>КУЛАКОВСЬКА ОЛЕНА ЮРІЇВНА</v>
          </cell>
          <cell r="C141" t="str">
            <v>2341306060</v>
          </cell>
          <cell r="D141" t="str">
            <v>26255151006001</v>
          </cell>
        </row>
        <row r="142">
          <cell r="B142" t="str">
            <v>КУХАРЧУК НАТАЛІЯ СЕРГІЇВНА</v>
          </cell>
          <cell r="C142" t="str">
            <v>2952114623</v>
          </cell>
          <cell r="D142" t="str">
            <v>26250185839001</v>
          </cell>
        </row>
        <row r="143">
          <cell r="B143" t="str">
            <v>ЛАВРОНЕНКО ІРИНА ВОЛОДИМИРІВНА</v>
          </cell>
          <cell r="C143" t="str">
            <v>2324903804</v>
          </cell>
          <cell r="D143" t="str">
            <v>26252063078001</v>
          </cell>
        </row>
        <row r="144">
          <cell r="B144" t="str">
            <v>ЛАПЕНКО ТЕТЯНА АНДРІЇВНА</v>
          </cell>
          <cell r="C144" t="str">
            <v>1394202900</v>
          </cell>
          <cell r="D144" t="str">
            <v>26256076511001</v>
          </cell>
        </row>
        <row r="145">
          <cell r="B145" t="str">
            <v>ЛАПУШЕНКО ОЛЬГА ВАСИЛІВНА</v>
          </cell>
          <cell r="C145" t="str">
            <v>2032107106</v>
          </cell>
          <cell r="D145" t="str">
            <v>26250072674001</v>
          </cell>
        </row>
        <row r="146">
          <cell r="B146" t="str">
            <v>ЛЕВІНА АНТОНІНА ЛУКІВНА</v>
          </cell>
          <cell r="C146" t="str">
            <v>2342406049</v>
          </cell>
          <cell r="D146" t="str">
            <v>26255147690001</v>
          </cell>
        </row>
        <row r="147">
          <cell r="B147" t="str">
            <v>ЛЕВЧЕНКО ЮЛІЯ ВОЛОДИМИРІВНА</v>
          </cell>
          <cell r="C147" t="str">
            <v>2518913886</v>
          </cell>
          <cell r="D147" t="str">
            <v>26256081915001</v>
          </cell>
        </row>
        <row r="148">
          <cell r="B148" t="str">
            <v>ЛИХОТОП РОСТИСЛАВ ЙОСИПОВИЧ</v>
          </cell>
          <cell r="C148" t="str">
            <v>2112512458</v>
          </cell>
          <cell r="D148" t="str">
            <v>26250059943001</v>
          </cell>
        </row>
        <row r="149">
          <cell r="B149" t="str">
            <v>ЛОЄНКО ЄВГЕН ОЛЕКСАНДРОВИЧ</v>
          </cell>
          <cell r="C149" t="str">
            <v>2726509592</v>
          </cell>
          <cell r="D149" t="str">
            <v>26250145318001</v>
          </cell>
        </row>
        <row r="150">
          <cell r="B150" t="str">
            <v>ЛОЙ ВАЛЕНТИНА МИКОЛАЇВНА</v>
          </cell>
          <cell r="C150" t="str">
            <v>2429014449</v>
          </cell>
          <cell r="D150" t="str">
            <v>26258187259001</v>
          </cell>
        </row>
        <row r="151">
          <cell r="B151" t="str">
            <v>ЛУЗАН ВАЛЕНТИНА ІВАНІВНА</v>
          </cell>
          <cell r="C151" t="str">
            <v>2079906004</v>
          </cell>
          <cell r="D151" t="str">
            <v>26258063061001</v>
          </cell>
        </row>
        <row r="152">
          <cell r="B152" t="str">
            <v>ЛУКАНЬОВ ЛЕОНІД ГЕННАДІЙОВИЧ</v>
          </cell>
          <cell r="C152" t="str">
            <v>2435409313</v>
          </cell>
          <cell r="D152" t="str">
            <v>26253189713001</v>
          </cell>
        </row>
        <row r="153">
          <cell r="B153" t="str">
            <v>ЛУПЕЙ-ТКАЧ СВІТЛАНА ІВАНІВНА</v>
          </cell>
          <cell r="C153" t="str">
            <v>2700417601</v>
          </cell>
          <cell r="D153" t="str">
            <v>26254067652001</v>
          </cell>
        </row>
        <row r="154">
          <cell r="B154" t="str">
            <v>ЛЮТОВА НАТАЛІЯ ВОЛОДИМИРІВНА</v>
          </cell>
          <cell r="C154" t="str">
            <v>1988017544</v>
          </cell>
          <cell r="D154" t="str">
            <v>26256063085001</v>
          </cell>
        </row>
        <row r="155">
          <cell r="B155" t="str">
            <v>МАЖАК ІРИНА МИХАЙЛІВНА</v>
          </cell>
          <cell r="C155" t="str">
            <v>2819012968</v>
          </cell>
          <cell r="D155" t="str">
            <v>26253059940001</v>
          </cell>
        </row>
        <row r="156">
          <cell r="B156" t="str">
            <v>МАНДУЛА РОМАН МИХАЙЛОВИЧ</v>
          </cell>
          <cell r="C156" t="str">
            <v>2904920152</v>
          </cell>
          <cell r="D156" t="str">
            <v>26250088389001</v>
          </cell>
        </row>
        <row r="157">
          <cell r="B157" t="str">
            <v>МАРМОРОШ ІГОР ВІКТОРОВИЧ</v>
          </cell>
          <cell r="C157" t="str">
            <v>2808403136</v>
          </cell>
          <cell r="D157" t="str">
            <v>26250125800001</v>
          </cell>
        </row>
        <row r="158">
          <cell r="B158" t="str">
            <v>МАРУНИЧ ВОЛОДИМИР ВАСИЛЬОВИЧ</v>
          </cell>
          <cell r="C158" t="str">
            <v>1776907370</v>
          </cell>
          <cell r="D158" t="str">
            <v>26252064721001</v>
          </cell>
        </row>
        <row r="159">
          <cell r="B159" t="str">
            <v>МАРЧЕНКО ВАЛЕНТИНА ОЛЕКСАНДРІВНА</v>
          </cell>
          <cell r="C159" t="str">
            <v>2305215164</v>
          </cell>
          <cell r="D159" t="str">
            <v>26250101976001</v>
          </cell>
        </row>
        <row r="160">
          <cell r="B160" t="str">
            <v>МАХНЮК ВАЛЕНТИНА МИХАЙЛІВНА</v>
          </cell>
          <cell r="C160" t="str">
            <v>2459304724</v>
          </cell>
          <cell r="D160" t="str">
            <v>26258059268001</v>
          </cell>
        </row>
        <row r="161">
          <cell r="B161" t="str">
            <v>МЕЛЬНИК ЮРІЙ ВІКТОРОВИЧ</v>
          </cell>
          <cell r="C161" t="str">
            <v>1619612054</v>
          </cell>
          <cell r="D161" t="str">
            <v>26252067665001</v>
          </cell>
        </row>
        <row r="162">
          <cell r="B162" t="str">
            <v>МЕНЬШИКОВА ІРИНА ОЛЕКСАНДРІВНА</v>
          </cell>
          <cell r="C162" t="str">
            <v>1775210489</v>
          </cell>
          <cell r="D162" t="str">
            <v>26251063057001</v>
          </cell>
        </row>
        <row r="163">
          <cell r="B163" t="str">
            <v>МИРОШНИЧЕНКО ВІКТОР ВОЛОДИМИРОВИЧ</v>
          </cell>
          <cell r="C163" t="str">
            <v>2757613350</v>
          </cell>
          <cell r="D163" t="str">
            <v>26255148291001</v>
          </cell>
        </row>
        <row r="164">
          <cell r="B164" t="str">
            <v>МИХАЛЬЧУК ВАСИЛЬ</v>
          </cell>
          <cell r="C164" t="str">
            <v>1961203615</v>
          </cell>
          <cell r="D164" t="str">
            <v>26257067648001</v>
          </cell>
        </row>
        <row r="165">
          <cell r="B165" t="str">
            <v>МИШКОВСЬКА АНТОНІНА АНДРІЇВНА</v>
          </cell>
          <cell r="C165" t="str">
            <v>2264114004</v>
          </cell>
          <cell r="D165" t="str">
            <v>26255059960001</v>
          </cell>
        </row>
        <row r="166">
          <cell r="B166" t="str">
            <v>МІРОШНІЧЕНКО ВІРА ЛЕОНІДІВНА</v>
          </cell>
          <cell r="C166" t="str">
            <v>2174417823</v>
          </cell>
          <cell r="D166" t="str">
            <v>26256063074001</v>
          </cell>
        </row>
        <row r="167">
          <cell r="B167" t="str">
            <v>МОІСЕЄНКО РАЇСА ОЛЕКСАНДРІВНА</v>
          </cell>
          <cell r="C167" t="str">
            <v>2335806848</v>
          </cell>
          <cell r="D167" t="str">
            <v>26250059954001</v>
          </cell>
        </row>
        <row r="168">
          <cell r="B168" t="str">
            <v>МОРАЧОВ ОЛЕКСАНДР ВОЛОДИМИРОВИЧ</v>
          </cell>
          <cell r="C168" t="str">
            <v>2607606531</v>
          </cell>
          <cell r="D168" t="str">
            <v>26254121134001</v>
          </cell>
        </row>
        <row r="169">
          <cell r="B169" t="str">
            <v>МОРОЗ НАТАЛІЯ АДАМІВНА</v>
          </cell>
          <cell r="C169" t="str">
            <v>2014207886</v>
          </cell>
          <cell r="D169" t="str">
            <v>26254063076001</v>
          </cell>
        </row>
        <row r="170">
          <cell r="B170" t="str">
            <v>МОРОЗ ТЕТЯНА ЮРІЇВНА</v>
          </cell>
          <cell r="C170" t="str">
            <v>2674208061</v>
          </cell>
          <cell r="D170" t="str">
            <v>26252185398001</v>
          </cell>
        </row>
        <row r="171">
          <cell r="B171" t="str">
            <v>МОТЮК МИРОСЛАВ ПАВЛОВИЧ</v>
          </cell>
          <cell r="C171" t="str">
            <v>1841408551</v>
          </cell>
          <cell r="D171" t="str">
            <v>26259059290001</v>
          </cell>
        </row>
        <row r="172">
          <cell r="B172" t="str">
            <v>МУРАВСЬКА ІННА ПЕТРІВНА</v>
          </cell>
          <cell r="C172" t="str">
            <v>2574009046</v>
          </cell>
          <cell r="D172" t="str">
            <v>26250128915001</v>
          </cell>
        </row>
        <row r="173">
          <cell r="B173" t="str">
            <v>МУРАШКОВСЬКА ОЛЕНА СЕМЕНІВНА</v>
          </cell>
          <cell r="C173" t="str">
            <v>2983510302</v>
          </cell>
          <cell r="D173" t="str">
            <v>26254059273001</v>
          </cell>
        </row>
        <row r="174">
          <cell r="B174" t="str">
            <v>МУХАРСЬКА ЛЮДМИЛА МИРОСЛАВІВНА</v>
          </cell>
          <cell r="C174" t="str">
            <v>2077406665</v>
          </cell>
          <cell r="D174" t="str">
            <v>26252059952001</v>
          </cell>
        </row>
        <row r="175">
          <cell r="B175" t="str">
            <v>НАДУТИЙ КОСТЯНТИН ОЛЕКСАНДРОВИЧ</v>
          </cell>
          <cell r="C175" t="str">
            <v>2097712978</v>
          </cell>
          <cell r="D175" t="str">
            <v>26250128971001</v>
          </cell>
        </row>
        <row r="176">
          <cell r="B176" t="str">
            <v>НЕСТЕРЧУК МИХАЙЛО МИТРОФАНОВИЧ</v>
          </cell>
          <cell r="C176" t="str">
            <v>2250200434</v>
          </cell>
          <cell r="D176" t="str">
            <v>26255079092001</v>
          </cell>
        </row>
        <row r="177">
          <cell r="B177" t="str">
            <v>НЮХІНА ПОЛІНА ОЛЕКСАНДРІВНА</v>
          </cell>
          <cell r="C177" t="str">
            <v>3038118144</v>
          </cell>
          <cell r="D177" t="str">
            <v>26253121135001</v>
          </cell>
        </row>
        <row r="178">
          <cell r="B178" t="str">
            <v>ОЛІЙНИК НАДІЯ АРТЕМІВНА</v>
          </cell>
          <cell r="C178" t="str">
            <v>1829422345</v>
          </cell>
          <cell r="D178" t="str">
            <v>26259059267001</v>
          </cell>
        </row>
        <row r="179">
          <cell r="B179" t="str">
            <v>ОМЕЛЬЧУК СВІТЛАНА АНАТОЛІЇВНА</v>
          </cell>
          <cell r="C179" t="str">
            <v>2290304120</v>
          </cell>
          <cell r="D179" t="str">
            <v>26259059289001</v>
          </cell>
        </row>
        <row r="180">
          <cell r="B180" t="str">
            <v>ОНИЩУК ІРИНА ВІКТОРІВНА</v>
          </cell>
          <cell r="C180" t="str">
            <v>2856819306</v>
          </cell>
          <cell r="D180" t="str">
            <v>26255059948001</v>
          </cell>
        </row>
        <row r="181">
          <cell r="B181" t="str">
            <v>ОПЕРОВЕЦЬ СЕРГІЙ ВОЛОДИМИРОВИЧ</v>
          </cell>
          <cell r="C181" t="str">
            <v>2571708031</v>
          </cell>
          <cell r="D181" t="str">
            <v>26256059947001</v>
          </cell>
        </row>
        <row r="182">
          <cell r="B182" t="str">
            <v>ОСТАШКО СВІТЛАНА ІВАНІВНА</v>
          </cell>
          <cell r="C182" t="str">
            <v>2510404501</v>
          </cell>
          <cell r="D182" t="str">
            <v>26257076510001</v>
          </cell>
        </row>
        <row r="183">
          <cell r="B183" t="str">
            <v>ОСТРОПОЛЕЦЬ НАТАЛIЯ АНДРIЄВНА</v>
          </cell>
          <cell r="C183" t="str">
            <v>2171214720</v>
          </cell>
          <cell r="D183" t="str">
            <v>26254148991001</v>
          </cell>
        </row>
        <row r="184">
          <cell r="B184" t="str">
            <v>ПIНЧУК ВЯЧЕСЛАВ СТАНIСЛАВОВИЧ</v>
          </cell>
          <cell r="C184" t="str">
            <v>2602011176</v>
          </cell>
          <cell r="D184" t="str">
            <v>26250088390001</v>
          </cell>
        </row>
        <row r="185">
          <cell r="B185" t="str">
            <v>ПАВЕЛКО НЕЛІ ЮРІЇВНА</v>
          </cell>
          <cell r="C185" t="str">
            <v>2261216983</v>
          </cell>
          <cell r="D185" t="str">
            <v>26259145836001</v>
          </cell>
        </row>
        <row r="186">
          <cell r="B186" t="str">
            <v>ПАВЛЕНКО ВІРА ФЕДОРІВНА</v>
          </cell>
          <cell r="C186" t="str">
            <v>2023906786</v>
          </cell>
          <cell r="D186" t="str">
            <v>26251063046001</v>
          </cell>
        </row>
        <row r="187">
          <cell r="B187" t="str">
            <v>ПАВЛОВСЬКА НАДІЯ МИХАЙЛІВНА</v>
          </cell>
          <cell r="C187" t="str">
            <v>1417102845</v>
          </cell>
          <cell r="D187" t="str">
            <v>26259063048001</v>
          </cell>
        </row>
        <row r="188">
          <cell r="B188" t="str">
            <v>ПАВЛЮК ІННА ІВАНІВНА</v>
          </cell>
          <cell r="C188" t="str">
            <v>2996908106</v>
          </cell>
          <cell r="D188" t="str">
            <v>26257129241001</v>
          </cell>
        </row>
        <row r="189">
          <cell r="B189" t="str">
            <v>ПАДЧЕНКО АНАТОЛІЙ ГРИГОРОВИЧ</v>
          </cell>
          <cell r="C189" t="str">
            <v>1942916455</v>
          </cell>
          <cell r="D189" t="str">
            <v>26259059966001</v>
          </cell>
        </row>
        <row r="190">
          <cell r="B190" t="str">
            <v>ПАНЧЕНКО ВАЛЕНТИНА СТЕПАНІВНА</v>
          </cell>
          <cell r="C190" t="str">
            <v>1811519368</v>
          </cell>
          <cell r="D190" t="str">
            <v>26255059959001</v>
          </cell>
        </row>
        <row r="191">
          <cell r="B191" t="str">
            <v>ПАРАЩУК ЛЕСЯ ВАСИЛІВНА</v>
          </cell>
          <cell r="C191" t="str">
            <v>2847208148</v>
          </cell>
          <cell r="D191" t="str">
            <v>26253079094001</v>
          </cell>
        </row>
        <row r="192">
          <cell r="B192" t="str">
            <v>ПАРУБЕЦЬ ЄВГЕН ПЕТРОВИЧ</v>
          </cell>
          <cell r="C192" t="str">
            <v>2934917010</v>
          </cell>
          <cell r="D192" t="str">
            <v>26255121218001</v>
          </cell>
        </row>
        <row r="193">
          <cell r="B193" t="str">
            <v>ПАРХОМЕНКО ВІРА МИКОЛАЇВНА</v>
          </cell>
          <cell r="C193" t="str">
            <v>1827609326</v>
          </cell>
          <cell r="D193" t="str">
            <v>26253063077001</v>
          </cell>
        </row>
        <row r="194">
          <cell r="B194" t="str">
            <v>ПАСІЧНИК МИХАЙЛО ФРАНЦОВИЧ</v>
          </cell>
          <cell r="C194" t="str">
            <v>2301121934</v>
          </cell>
          <cell r="D194" t="str">
            <v>26251074659001</v>
          </cell>
        </row>
        <row r="195">
          <cell r="B195" t="str">
            <v>ПЕДАН ВАЛЕНТИНА БОРИСІВНА</v>
          </cell>
          <cell r="C195" t="str">
            <v>1899413869</v>
          </cell>
          <cell r="D195" t="str">
            <v>26253059973001</v>
          </cell>
        </row>
        <row r="196">
          <cell r="B196" t="str">
            <v>ПЕДЧЕНКО ТИМУР ВІКТОРОВИЧ</v>
          </cell>
          <cell r="C196" t="str">
            <v>2416201354</v>
          </cell>
          <cell r="D196" t="str">
            <v>26256061571001</v>
          </cell>
        </row>
        <row r="197">
          <cell r="B197" t="str">
            <v>ПЕРЕКОПАЙКО МИКОЛА ВАСИЛЬВИЧ</v>
          </cell>
          <cell r="C197" t="str">
            <v>2087209374</v>
          </cell>
          <cell r="D197" t="str">
            <v>26250140164001</v>
          </cell>
        </row>
        <row r="198">
          <cell r="B198" t="str">
            <v>ПЕТРАШЕНКО ПЕТРО РОМАНОВИЧ</v>
          </cell>
          <cell r="C198" t="str">
            <v>1809006898</v>
          </cell>
          <cell r="D198" t="str">
            <v>26255067662001</v>
          </cell>
        </row>
        <row r="199">
          <cell r="B199" t="str">
            <v>ПЕТРОВА КАТЕРИНА ІВАНІВНА</v>
          </cell>
          <cell r="C199" t="str">
            <v>2431712940</v>
          </cell>
          <cell r="D199" t="str">
            <v>26255117675001</v>
          </cell>
        </row>
        <row r="200">
          <cell r="B200" t="str">
            <v>ПЕТРУК ДМИТРО АНАТОЛІЙОВИЧ</v>
          </cell>
          <cell r="C200" t="str">
            <v>2070506374</v>
          </cell>
          <cell r="D200" t="str">
            <v>26251059287001</v>
          </cell>
        </row>
        <row r="201">
          <cell r="B201" t="str">
            <v>ПІДАЄВ АНДРІЙ ВОЛОДИМИРОВИЧ</v>
          </cell>
          <cell r="C201" t="str">
            <v>2252712139</v>
          </cell>
          <cell r="D201" t="str">
            <v>26250072673002</v>
          </cell>
        </row>
        <row r="202">
          <cell r="B202" t="str">
            <v>ПІДАЄВ АНДРІЙ ВОЛОДИМИРОВИЧ</v>
          </cell>
          <cell r="C202" t="str">
            <v>2252712139</v>
          </cell>
          <cell r="D202" t="str">
            <v>26251072673001</v>
          </cell>
        </row>
        <row r="203">
          <cell r="B203" t="str">
            <v>ПІДГОРНА ЛЮДМИЛА МИХАЙЛІВНА</v>
          </cell>
          <cell r="C203" t="str">
            <v>2142607960</v>
          </cell>
          <cell r="D203" t="str">
            <v>26258061579001</v>
          </cell>
        </row>
        <row r="204">
          <cell r="B204" t="str">
            <v>ПЛАТОВ СЕРГІЙ МИХАЙЛОВИЧ</v>
          </cell>
          <cell r="C204" t="str">
            <v>2256303691</v>
          </cell>
          <cell r="D204" t="str">
            <v>26251182875001</v>
          </cell>
        </row>
        <row r="205">
          <cell r="B205" t="str">
            <v>ПОДРУШНЯК ВАЛЕНТИНА БОРИСІВНА</v>
          </cell>
          <cell r="C205" t="str">
            <v>1862402646</v>
          </cell>
          <cell r="D205" t="str">
            <v>26257059281001</v>
          </cell>
        </row>
        <row r="206">
          <cell r="B206" t="str">
            <v>ПОЛИВАНИЙ АРТЕМ ІВАНОВИЧ</v>
          </cell>
          <cell r="C206" t="str">
            <v>2970218332</v>
          </cell>
          <cell r="D206" t="str">
            <v>26257119819001</v>
          </cell>
        </row>
        <row r="207">
          <cell r="B207" t="str">
            <v>ПОЛІЩУК КАТЕРИНА ВАСИЛІВНА</v>
          </cell>
          <cell r="C207" t="str">
            <v>2152506284</v>
          </cell>
          <cell r="D207" t="str">
            <v>26252063067001</v>
          </cell>
        </row>
        <row r="208">
          <cell r="B208" t="str">
            <v>ПОЛІЩУК МИКОЛА ЄФРЕМОВИЧ</v>
          </cell>
          <cell r="C208" t="str">
            <v>1619301539</v>
          </cell>
          <cell r="D208" t="str">
            <v>26251113800001</v>
          </cell>
        </row>
        <row r="209">
          <cell r="B209" t="str">
            <v>ПОЛІЩУК ЮРІЙ БОРИСОВИЧ</v>
          </cell>
          <cell r="C209" t="str">
            <v>2056103731</v>
          </cell>
          <cell r="D209" t="str">
            <v>26256143143001</v>
          </cell>
        </row>
        <row r="210">
          <cell r="B210" t="str">
            <v>ПОНОМАРЕНКО АНАТОЛІЙ МИКОЛАЙОВИЧ</v>
          </cell>
          <cell r="C210" t="str">
            <v>2089518051</v>
          </cell>
          <cell r="D210" t="str">
            <v>26250086808001</v>
          </cell>
        </row>
        <row r="211">
          <cell r="B211" t="str">
            <v>ПОПОВА ОЛЕНА ОЛЕКСАНДРІВНА</v>
          </cell>
          <cell r="C211" t="str">
            <v>2422614361</v>
          </cell>
          <cell r="D211" t="str">
            <v>26255059937001</v>
          </cell>
        </row>
        <row r="212">
          <cell r="B212" t="str">
            <v>ПРИДАЧУК НАТАЛІЯ МИХАЙЛІВНА</v>
          </cell>
          <cell r="C212" t="str">
            <v>2285016782</v>
          </cell>
          <cell r="D212" t="str">
            <v>26251059276001</v>
          </cell>
        </row>
        <row r="213">
          <cell r="B213" t="str">
            <v>ПРИМАЧОК МИКОЛА ЯКОВИЧ</v>
          </cell>
          <cell r="C213" t="str">
            <v>1787605317</v>
          </cell>
          <cell r="D213" t="str">
            <v>26251059964001</v>
          </cell>
        </row>
        <row r="214">
          <cell r="B214" t="str">
            <v>ПРИХОДЬКО АЛЛА ОЛЕКСАНДРІВНА</v>
          </cell>
          <cell r="C214" t="str">
            <v>2624910408</v>
          </cell>
          <cell r="D214" t="str">
            <v>26254059950001</v>
          </cell>
        </row>
        <row r="215">
          <cell r="B215" t="str">
            <v>ПРОЙДАК МАРИНА МИХАЙЛІВНА</v>
          </cell>
          <cell r="C215" t="str">
            <v>2254806462</v>
          </cell>
          <cell r="D215" t="str">
            <v>26257100099001</v>
          </cell>
        </row>
        <row r="216">
          <cell r="B216" t="str">
            <v>ПРОКОПЕНКО АНАСТАСІЯ ОЛЕКСАНДРІВНА</v>
          </cell>
          <cell r="C216" t="str">
            <v>2109807864</v>
          </cell>
          <cell r="D216" t="str">
            <v>26258063049001</v>
          </cell>
        </row>
        <row r="217">
          <cell r="B217" t="str">
            <v>ПУЗИРЕНКО ОЛЕНА ГЕОРГІЇВНА</v>
          </cell>
          <cell r="C217" t="str">
            <v>2202008369</v>
          </cell>
          <cell r="D217" t="str">
            <v>26253063055001</v>
          </cell>
        </row>
        <row r="218">
          <cell r="B218" t="str">
            <v>ПЯТНИЦЬКИЙ ЮРІЙ СЕРГІЙОВИЧ</v>
          </cell>
          <cell r="C218" t="str">
            <v>2608411438</v>
          </cell>
          <cell r="D218" t="str">
            <v>26258184360001</v>
          </cell>
        </row>
        <row r="219">
          <cell r="B219" t="str">
            <v>РАДКЕВИЧ НАТАЛЯ ВІКТОРІВНА</v>
          </cell>
          <cell r="C219" t="str">
            <v>2779911907</v>
          </cell>
          <cell r="D219" t="str">
            <v>26259074662001</v>
          </cell>
        </row>
        <row r="220">
          <cell r="B220" t="str">
            <v>РАХАЛЬСЬКА ГАННА ВОЛОДИМИРІВНА</v>
          </cell>
          <cell r="C220" t="str">
            <v>2948218649</v>
          </cell>
          <cell r="D220" t="str">
            <v>26255105115001</v>
          </cell>
        </row>
        <row r="221">
          <cell r="B221" t="str">
            <v>РИБЧУК ВІКТОР ОЛЕКСАНДРОВИЧ</v>
          </cell>
          <cell r="C221" t="str">
            <v>2179603052</v>
          </cell>
          <cell r="D221" t="str">
            <v>26254115593001</v>
          </cell>
        </row>
        <row r="222">
          <cell r="B222" t="str">
            <v>РИНГАЧ НАТАЛІЯ ОЛЕСАНДРІВНА</v>
          </cell>
          <cell r="C222" t="str">
            <v>2210817984</v>
          </cell>
          <cell r="D222" t="str">
            <v>26251059942001</v>
          </cell>
        </row>
        <row r="223">
          <cell r="B223" t="str">
            <v>РІБУН ЛАРИСА ВОЛОДИМИРІВНА</v>
          </cell>
          <cell r="C223" t="str">
            <v>2935122949</v>
          </cell>
          <cell r="D223" t="str">
            <v>26252102036001</v>
          </cell>
        </row>
        <row r="224">
          <cell r="B224" t="str">
            <v>РОЗЕНТАЛЬ НАДІЯ СЕРГІЇВНА</v>
          </cell>
          <cell r="C224" t="str">
            <v>1802411902</v>
          </cell>
          <cell r="D224" t="str">
            <v>26254059961001</v>
          </cell>
        </row>
        <row r="225">
          <cell r="B225" t="str">
            <v>РОМАШКО СЕРГІЙ ВОЛОДИМИРОВИЧ</v>
          </cell>
          <cell r="C225" t="str">
            <v>2523814437</v>
          </cell>
          <cell r="D225" t="str">
            <v>26252059941001</v>
          </cell>
        </row>
        <row r="226">
          <cell r="B226" t="str">
            <v>РУБЕКО СВІТЛАНА СЕРГІЇВНА</v>
          </cell>
          <cell r="C226" t="str">
            <v>1512815648</v>
          </cell>
          <cell r="D226" t="str">
            <v>26259140820001</v>
          </cell>
        </row>
        <row r="227">
          <cell r="B227" t="str">
            <v>САДОВА ОКСАНА ІВАНІВНА</v>
          </cell>
          <cell r="C227" t="str">
            <v>2046806229</v>
          </cell>
          <cell r="D227" t="str">
            <v>26255067651001</v>
          </cell>
        </row>
        <row r="228">
          <cell r="B228" t="str">
            <v>САДЧИКОВ МИКОЛА ВАСИЛЬОВИЧ</v>
          </cell>
          <cell r="C228" t="str">
            <v>1899393513</v>
          </cell>
          <cell r="D228" t="str">
            <v>26251061565001</v>
          </cell>
        </row>
        <row r="229">
          <cell r="B229" t="str">
            <v>САЙДОВА ОЛЕНА ВІКТОРІВНА</v>
          </cell>
          <cell r="C229" t="str">
            <v>2279522108</v>
          </cell>
          <cell r="D229" t="str">
            <v>26258096771001</v>
          </cell>
        </row>
        <row r="230">
          <cell r="B230" t="str">
            <v>САЙКО РІММА ВОЛОДИМИРІВНА</v>
          </cell>
          <cell r="C230" t="str">
            <v>2486013704</v>
          </cell>
          <cell r="D230" t="str">
            <v>26256085085001</v>
          </cell>
        </row>
        <row r="231">
          <cell r="B231" t="str">
            <v>САКАЛИ МИХАЙЛО ВОЛОДИМИРОВИЧ</v>
          </cell>
          <cell r="C231" t="str">
            <v>2077905811</v>
          </cell>
          <cell r="D231" t="str">
            <v>26253185397001</v>
          </cell>
        </row>
        <row r="232">
          <cell r="B232" t="str">
            <v>САКАЛЬСЬКА ОЛЬГА ПЕТРІВНА</v>
          </cell>
          <cell r="C232" t="str">
            <v>2157021188</v>
          </cell>
          <cell r="D232" t="str">
            <v>26259104435001</v>
          </cell>
        </row>
        <row r="233">
          <cell r="B233" t="str">
            <v>САЛІЄНКО ІГОР АНАТОЛІЙОВИЧ</v>
          </cell>
          <cell r="C233" t="str">
            <v>2878017594</v>
          </cell>
          <cell r="D233" t="str">
            <v>26258140821001</v>
          </cell>
        </row>
        <row r="234">
          <cell r="B234" t="str">
            <v>САЛМАНОВ АЙДИН ГУРБАН ОГЛИ</v>
          </cell>
          <cell r="C234" t="str">
            <v>2091100050</v>
          </cell>
          <cell r="D234" t="str">
            <v>26252151407001</v>
          </cell>
        </row>
        <row r="235">
          <cell r="B235" t="str">
            <v>САЛО НАДІЯ ЙОСИФІВНА</v>
          </cell>
          <cell r="C235" t="str">
            <v>2597706205</v>
          </cell>
          <cell r="D235" t="str">
            <v>26259059944001</v>
          </cell>
        </row>
        <row r="236">
          <cell r="B236" t="str">
            <v>САПРОНОВА СВІТЛАНА ДМИТРІВНА</v>
          </cell>
          <cell r="C236" t="str">
            <v>1838817629</v>
          </cell>
          <cell r="D236" t="str">
            <v>26251063079001</v>
          </cell>
        </row>
        <row r="237">
          <cell r="B237" t="str">
            <v>САПУГА ІРИНА ЄВГЕНІЇВНА</v>
          </cell>
          <cell r="C237" t="str">
            <v>1946116560</v>
          </cell>
          <cell r="D237" t="str">
            <v>26257059270001</v>
          </cell>
        </row>
        <row r="238">
          <cell r="B238" t="str">
            <v>СЕМЕНЧЕНКО ГЕННАДІЙ БОРИСОВИЧ</v>
          </cell>
          <cell r="C238" t="str">
            <v>2546700814</v>
          </cell>
          <cell r="D238" t="str">
            <v>26257063084001</v>
          </cell>
        </row>
        <row r="239">
          <cell r="B239" t="str">
            <v>СЕМЕНЧЕНКО ОКСАНА ГРИГОРІВНА</v>
          </cell>
          <cell r="C239" t="str">
            <v>2547704684</v>
          </cell>
          <cell r="D239" t="str">
            <v>26250063070001</v>
          </cell>
        </row>
        <row r="240">
          <cell r="B240" t="str">
            <v>СЕМЕНЧУК ЯРОСЛАВА МИХАЙЛІВНА</v>
          </cell>
          <cell r="C240" t="str">
            <v>2639102888</v>
          </cell>
          <cell r="D240" t="str">
            <v>26258073880001</v>
          </cell>
        </row>
        <row r="241">
          <cell r="B241" t="str">
            <v>СЕМЕРУНЬ ІРИНА ВАЛЕРІЇВНА</v>
          </cell>
          <cell r="C241" t="str">
            <v>2298916927</v>
          </cell>
          <cell r="D241" t="str">
            <v>26258071268001</v>
          </cell>
        </row>
        <row r="242">
          <cell r="B242" t="str">
            <v>СЕНАТОВ ОЛЕГ ВІКТОРОВИЧ</v>
          </cell>
          <cell r="C242" t="str">
            <v>2393605533</v>
          </cell>
          <cell r="D242" t="str">
            <v>26259130841001</v>
          </cell>
        </row>
        <row r="243">
          <cell r="B243" t="str">
            <v>СИДОРОВА ОЛЬГА БОРИСІВНА</v>
          </cell>
          <cell r="C243" t="str">
            <v>2085618820</v>
          </cell>
          <cell r="D243" t="str">
            <v>26253063044001</v>
          </cell>
        </row>
        <row r="244">
          <cell r="B244" t="str">
            <v>СИНЕЛЬНИК СВІТЛАНА ВАСИЛІВНА</v>
          </cell>
          <cell r="C244" t="str">
            <v>2143507964</v>
          </cell>
          <cell r="D244" t="str">
            <v>26256067649001</v>
          </cell>
        </row>
        <row r="245">
          <cell r="B245" t="str">
            <v>СИТЕНКО МИХАЙЛО АНТОНОВИЧ</v>
          </cell>
          <cell r="C245" t="str">
            <v>1870317415</v>
          </cell>
          <cell r="D245" t="str">
            <v>26257059269001</v>
          </cell>
        </row>
        <row r="246">
          <cell r="B246" t="str">
            <v>СІБІР ЖАННА АНАТОЛІЇВНА</v>
          </cell>
          <cell r="C246" t="str">
            <v>2553304788</v>
          </cell>
          <cell r="D246" t="str">
            <v>26253067653001</v>
          </cell>
        </row>
        <row r="247">
          <cell r="B247" t="str">
            <v>СКИДОНЕНКО НАТАЛІЯ МИХАЙЛІВНА</v>
          </cell>
          <cell r="C247" t="str">
            <v>2370609467</v>
          </cell>
          <cell r="D247" t="str">
            <v>26251063080001</v>
          </cell>
        </row>
        <row r="248">
          <cell r="B248" t="str">
            <v>СКРИПНИК АНАТОЛІЙ ПЕТРОВИЧ</v>
          </cell>
          <cell r="C248" t="str">
            <v>1849105817</v>
          </cell>
          <cell r="D248" t="str">
            <v>26255059283001</v>
          </cell>
        </row>
        <row r="249">
          <cell r="B249" t="str">
            <v>СКРИПНИК ІВАННА ВЯЧЕСЛАВІВНА</v>
          </cell>
          <cell r="C249" t="str">
            <v>2933618388</v>
          </cell>
          <cell r="D249" t="str">
            <v>26254061573001</v>
          </cell>
        </row>
        <row r="250">
          <cell r="B250" t="str">
            <v>СКРИПНЮК ПЕТРО ОЛЕКСІЙОВИЧ</v>
          </cell>
          <cell r="C250" t="str">
            <v>1726202658</v>
          </cell>
          <cell r="D250" t="str">
            <v>26250059965001</v>
          </cell>
        </row>
        <row r="251">
          <cell r="B251" t="str">
            <v>СКРИПЧЕНКО НАТАЛІЯ ВАСИЛІВНА</v>
          </cell>
          <cell r="C251" t="str">
            <v>2683011521</v>
          </cell>
          <cell r="D251" t="str">
            <v>26253151008001</v>
          </cell>
        </row>
        <row r="252">
          <cell r="B252" t="str">
            <v>СЛЮСАР СВІТЛАНА БОРИСІВНА</v>
          </cell>
          <cell r="C252" t="str">
            <v>2488309169</v>
          </cell>
          <cell r="D252" t="str">
            <v>26255119479001</v>
          </cell>
        </row>
        <row r="253">
          <cell r="B253" t="str">
            <v>СМІРНОВА ОЛЬГА СЕРГІЇВНА</v>
          </cell>
          <cell r="C253" t="str">
            <v>2705313566</v>
          </cell>
          <cell r="D253" t="str">
            <v>26256147688001</v>
          </cell>
        </row>
        <row r="254">
          <cell r="B254" t="str">
            <v>СНІСАРЬ ВАЛЕНТИН ФЕДОРОВИЧ</v>
          </cell>
          <cell r="C254" t="str">
            <v>2240422094</v>
          </cell>
          <cell r="D254" t="str">
            <v>26251142332001</v>
          </cell>
        </row>
        <row r="255">
          <cell r="B255" t="str">
            <v>СОКОЛОВСЬКИЙ МИКОЛА ВАСИЛЬОВИЧ</v>
          </cell>
          <cell r="C255" t="str">
            <v>1843813915</v>
          </cell>
          <cell r="D255" t="str">
            <v>26257061558001</v>
          </cell>
        </row>
        <row r="256">
          <cell r="B256" t="str">
            <v>СОРОКА ВІРА КОНОНІВНА</v>
          </cell>
          <cell r="C256" t="str">
            <v>1175201322</v>
          </cell>
          <cell r="D256" t="str">
            <v>26257067660001</v>
          </cell>
        </row>
        <row r="257">
          <cell r="B257" t="str">
            <v>СОФРОНОВ АНДРІЙ ІВАНОВИЧ</v>
          </cell>
          <cell r="C257" t="str">
            <v>2386905239</v>
          </cell>
          <cell r="D257" t="str">
            <v>26258063038001</v>
          </cell>
        </row>
        <row r="258">
          <cell r="B258" t="str">
            <v>СОХАНЬ ТАМАРА ПЕТРІВНА</v>
          </cell>
          <cell r="C258" t="str">
            <v>2238219662</v>
          </cell>
          <cell r="D258" t="str">
            <v>26255071272001</v>
          </cell>
        </row>
        <row r="259">
          <cell r="B259" t="str">
            <v>СТАНІСЛАВЧУК ТАМАРА ВАЛЕРІЇВНА</v>
          </cell>
          <cell r="C259" t="str">
            <v>3031715609</v>
          </cell>
          <cell r="D259" t="str">
            <v>26252151009001</v>
          </cell>
        </row>
        <row r="260">
          <cell r="B260" t="str">
            <v>СТАРЧА ТЕТЯНА МИХАЙЛІВНА</v>
          </cell>
          <cell r="C260" t="str">
            <v>2162607927</v>
          </cell>
          <cell r="D260" t="str">
            <v>26256059936001</v>
          </cell>
        </row>
        <row r="261">
          <cell r="B261" t="str">
            <v>СТАХІВСЬКИЙ СЕРГІЙ МИКОЛАЙОВИЧ</v>
          </cell>
          <cell r="C261" t="str">
            <v>2432417456</v>
          </cell>
          <cell r="D261" t="str">
            <v>26257059946001</v>
          </cell>
        </row>
        <row r="262">
          <cell r="B262" t="str">
            <v>СТЕПАНЕЦЬ ІРИНА ІВАНІВНА</v>
          </cell>
          <cell r="C262" t="str">
            <v>2241006942</v>
          </cell>
          <cell r="D262" t="str">
            <v>26259118700001</v>
          </cell>
        </row>
        <row r="263">
          <cell r="B263" t="str">
            <v>СТЕПАНОВА ВІРА ПЕТРІВНА</v>
          </cell>
          <cell r="C263" t="str">
            <v>1872012362</v>
          </cell>
          <cell r="D263" t="str">
            <v>26250059266001</v>
          </cell>
        </row>
        <row r="264">
          <cell r="B264" t="str">
            <v>СТОРОЖЕНКО ЛЮДМИЛА ВІТАЛІЇВНА</v>
          </cell>
          <cell r="C264" t="str">
            <v>2801615123</v>
          </cell>
          <cell r="D264" t="str">
            <v>26250148188001</v>
          </cell>
        </row>
        <row r="265">
          <cell r="B265" t="str">
            <v>СТРЕЛЬНИКОВ МИХАЙЛО ОЛЕКСАНДРОВИЧ</v>
          </cell>
          <cell r="C265" t="str">
            <v>2220501259</v>
          </cell>
          <cell r="D265" t="str">
            <v>26251128969001</v>
          </cell>
        </row>
        <row r="266">
          <cell r="B266" t="str">
            <v>СТРІЖАКОВА АНЖЕЛІКА ВАЛЕРІПВНА</v>
          </cell>
          <cell r="C266" t="str">
            <v>2213724925</v>
          </cell>
          <cell r="D266" t="str">
            <v>26258081913001</v>
          </cell>
        </row>
        <row r="267">
          <cell r="B267" t="str">
            <v>ТАРАСОВСЬКИЙ ВОЛОДИМИР ОЛЕКСІЙОВИЧ</v>
          </cell>
          <cell r="C267" t="str">
            <v>2462905332</v>
          </cell>
          <cell r="D267" t="str">
            <v>26257059935001</v>
          </cell>
        </row>
        <row r="268">
          <cell r="B268" t="str">
            <v>ТЕРЕЩЕНКО АЛЬОНА ВАСИЛІВНА</v>
          </cell>
          <cell r="C268" t="str">
            <v>2684917527</v>
          </cell>
          <cell r="D268" t="str">
            <v>26256189721001</v>
          </cell>
        </row>
        <row r="269">
          <cell r="B269" t="str">
            <v>ТИМОШЕНКО АДАМ ІВАНОВИЧ</v>
          </cell>
          <cell r="C269" t="str">
            <v>1869903435</v>
          </cell>
          <cell r="D269" t="str">
            <v>26251147199001</v>
          </cell>
        </row>
        <row r="270">
          <cell r="B270" t="str">
            <v>ТИМОШЕНКО ЛЮДМИЛА ОЛЕКСІЇВНА</v>
          </cell>
          <cell r="C270" t="str">
            <v>2881301986</v>
          </cell>
          <cell r="D270" t="str">
            <v>26258140166001</v>
          </cell>
        </row>
        <row r="271">
          <cell r="B271" t="str">
            <v>ТИЩЕНКО ОЛЕНА ГРИГОРІВНА</v>
          </cell>
          <cell r="C271" t="str">
            <v>3120315020</v>
          </cell>
          <cell r="D271" t="str">
            <v>26258149026001</v>
          </cell>
        </row>
        <row r="272">
          <cell r="B272" t="str">
            <v>ТОРОВЕЦЬ ЛЕОНІД ЮРІОЙВИЧ</v>
          </cell>
          <cell r="C272" t="str">
            <v>2849010074</v>
          </cell>
          <cell r="D272" t="str">
            <v>26253162558001</v>
          </cell>
        </row>
        <row r="273">
          <cell r="B273" t="str">
            <v>ТРИНЧУК ОЛЕНА ВОЛОДИМИРІВНА</v>
          </cell>
          <cell r="C273" t="str">
            <v>2658017949</v>
          </cell>
          <cell r="D273" t="str">
            <v>26254079093001</v>
          </cell>
        </row>
        <row r="274">
          <cell r="B274" t="str">
            <v>ТУЛУПОВ ОЛЕГ АНДРІЙОВИЧ</v>
          </cell>
          <cell r="C274" t="str">
            <v>1962313798</v>
          </cell>
          <cell r="D274" t="str">
            <v>26256121132001</v>
          </cell>
        </row>
        <row r="275">
          <cell r="B275" t="str">
            <v>ТУРЧИНСЬКА ОЛЬГА ПЕТРІВНА</v>
          </cell>
          <cell r="C275" t="str">
            <v>3041418249</v>
          </cell>
          <cell r="D275" t="str">
            <v>26250147468001</v>
          </cell>
        </row>
        <row r="276">
          <cell r="B276" t="str">
            <v>ФЕДЕНКО ІРИНА БОРИСІВНА</v>
          </cell>
          <cell r="C276" t="str">
            <v>2291417065</v>
          </cell>
          <cell r="D276" t="str">
            <v>26255063042001</v>
          </cell>
        </row>
        <row r="277">
          <cell r="B277" t="str">
            <v>ФЕДЬКО ОЛЕКСАНДР АНАТОЛІЙОВИЧ</v>
          </cell>
          <cell r="C277" t="str">
            <v>2313413790</v>
          </cell>
          <cell r="D277" t="str">
            <v>26254151007001</v>
          </cell>
        </row>
        <row r="278">
          <cell r="B278" t="str">
            <v>ФІЛАТОВА ЛАРИСА АНАТОЛІЇВНА</v>
          </cell>
          <cell r="C278" t="str">
            <v>2436200727</v>
          </cell>
          <cell r="D278" t="str">
            <v>26259067657001</v>
          </cell>
        </row>
        <row r="279">
          <cell r="B279" t="str">
            <v>ФІЛІПОВА КАТЕРИНА АНАТОЛІЇВНА</v>
          </cell>
          <cell r="C279" t="str">
            <v>2951208000</v>
          </cell>
          <cell r="D279" t="str">
            <v>26251130441001</v>
          </cell>
        </row>
        <row r="280">
          <cell r="B280" t="str">
            <v>ФІЦАК ІРИНА ВАСИЛІВНА</v>
          </cell>
          <cell r="C280" t="str">
            <v>2621505480</v>
          </cell>
          <cell r="D280" t="str">
            <v>26257061569001</v>
          </cell>
        </row>
        <row r="281">
          <cell r="B281" t="str">
            <v>ХАБЕНКО ОЛЕГ МИКОЛАЙОВИЧ</v>
          </cell>
          <cell r="C281" t="str">
            <v>1891417151</v>
          </cell>
          <cell r="D281" t="str">
            <v>26253119415001</v>
          </cell>
        </row>
        <row r="282">
          <cell r="B282" t="str">
            <v>ХАДЖИНОВА НАТАЛІЯ АФАНАСІЇВНА</v>
          </cell>
          <cell r="C282" t="str">
            <v>2141200402</v>
          </cell>
          <cell r="D282" t="str">
            <v>26258104436001</v>
          </cell>
        </row>
        <row r="283">
          <cell r="B283" t="str">
            <v>ХАНЕНКО СВЯТОСЛАВ МИХАЙЛОВИЧ</v>
          </cell>
          <cell r="C283" t="str">
            <v>1959305978</v>
          </cell>
          <cell r="D283" t="str">
            <v>26255115592001</v>
          </cell>
        </row>
        <row r="284">
          <cell r="B284" t="str">
            <v>ХАРІНА ТЕТЯНА ВОЛОДИМИРІВНА</v>
          </cell>
          <cell r="C284" t="str">
            <v>2822602588</v>
          </cell>
          <cell r="D284" t="str">
            <v>26256061560001</v>
          </cell>
        </row>
        <row r="285">
          <cell r="B285" t="str">
            <v>ХОМИЧ ОЛЕНА ОЛЕКСІЇВНА</v>
          </cell>
          <cell r="C285" t="str">
            <v>2547412188</v>
          </cell>
          <cell r="D285" t="str">
            <v>26257164596001</v>
          </cell>
        </row>
        <row r="286">
          <cell r="B286" t="str">
            <v>ХРАПАЧЕВСЬКА ЮЛІЯ СТАНІСЛАВІВНА</v>
          </cell>
          <cell r="C286" t="str">
            <v>2628015309</v>
          </cell>
          <cell r="D286" t="str">
            <v>26250059277001</v>
          </cell>
        </row>
        <row r="287">
          <cell r="B287" t="str">
            <v>ЦАРЕНКО ЛІЛІАНА ЮРІЇВНА</v>
          </cell>
          <cell r="C287" t="str">
            <v>2627401981</v>
          </cell>
          <cell r="D287" t="str">
            <v>26259063082001</v>
          </cell>
        </row>
        <row r="288">
          <cell r="B288" t="str">
            <v>ЦЕНІЛОВА ЖАННА ВАЛЕНТИНІВНА</v>
          </cell>
          <cell r="C288" t="str">
            <v>2178810089</v>
          </cell>
          <cell r="D288" t="str">
            <v>26250150552001</v>
          </cell>
        </row>
        <row r="289">
          <cell r="B289" t="str">
            <v>ЧАЛОВА ЮЛІЯ ОЛЕКСАНДРІВНА</v>
          </cell>
          <cell r="C289" t="str">
            <v>2846314083</v>
          </cell>
          <cell r="D289" t="str">
            <v>26259081901001</v>
          </cell>
        </row>
        <row r="290">
          <cell r="B290" t="str">
            <v>ЧЕЛБАЄВА ІРИНА АНАТОЛІЇВНА</v>
          </cell>
          <cell r="C290" t="str">
            <v>2699311306</v>
          </cell>
          <cell r="D290" t="str">
            <v>26252063056001</v>
          </cell>
        </row>
        <row r="291">
          <cell r="B291" t="str">
            <v>ЧЕРЕДНІЧЕНКО ЛІЛІЯ ВІТАЛІЇВНА</v>
          </cell>
          <cell r="C291" t="str">
            <v>2857302307</v>
          </cell>
          <cell r="D291" t="str">
            <v>26253063066001</v>
          </cell>
        </row>
        <row r="292">
          <cell r="B292" t="str">
            <v>ЧЕРКАШИНА ЛЮДМИЛА ВОЛОДИМИРІВНА</v>
          </cell>
          <cell r="C292" t="str">
            <v>2224501421</v>
          </cell>
          <cell r="D292" t="str">
            <v>26257081914001</v>
          </cell>
        </row>
        <row r="293">
          <cell r="B293" t="str">
            <v>ЧЕРНИК ТАМАРА ІВАНІВНА</v>
          </cell>
          <cell r="C293" t="str">
            <v>1871611227</v>
          </cell>
          <cell r="D293" t="str">
            <v>26250061566001</v>
          </cell>
        </row>
        <row r="294">
          <cell r="B294" t="str">
            <v>ЧЕРНИШЕНКО ТЕТЯНА ІВАНІВНА</v>
          </cell>
          <cell r="C294" t="str">
            <v>1945606460</v>
          </cell>
          <cell r="D294" t="str">
            <v>26255076512001</v>
          </cell>
        </row>
        <row r="295">
          <cell r="B295" t="str">
            <v>ЧЕРНЯК СЕРГІЙ ІВАНОВИЧ</v>
          </cell>
          <cell r="C295" t="str">
            <v>1968608717</v>
          </cell>
          <cell r="D295" t="str">
            <v>26253059939001</v>
          </cell>
        </row>
        <row r="296">
          <cell r="B296" t="str">
            <v>ШАРАТОВ ЮРІЙ АНАТОЛІЙОВИЧ</v>
          </cell>
          <cell r="C296" t="str">
            <v>2790812555</v>
          </cell>
          <cell r="D296" t="str">
            <v>26257104437001</v>
          </cell>
        </row>
        <row r="297">
          <cell r="B297" t="str">
            <v>ШВЕЦЬ ОЛЕНА ЮРІЇВНА</v>
          </cell>
          <cell r="C297" t="str">
            <v>2757613448</v>
          </cell>
          <cell r="D297" t="str">
            <v>26253059274001</v>
          </cell>
        </row>
        <row r="298">
          <cell r="B298" t="str">
            <v>ШКОРБОТУН МЕЛАНІЯ КИРИЛІВНА</v>
          </cell>
          <cell r="C298" t="str">
            <v>2082422760</v>
          </cell>
          <cell r="D298" t="str">
            <v>26250063081001</v>
          </cell>
        </row>
        <row r="299">
          <cell r="B299" t="str">
            <v>ШЛОНЧАК НАТАЛІЯ ВАСИЛІВНА</v>
          </cell>
          <cell r="C299" t="str">
            <v>2772708864</v>
          </cell>
          <cell r="D299" t="str">
            <v>26256063063001</v>
          </cell>
        </row>
        <row r="300">
          <cell r="B300" t="str">
            <v>ШПАК ІГОР ВІКТОРОВИЧ</v>
          </cell>
          <cell r="C300" t="str">
            <v>2295715312</v>
          </cell>
          <cell r="D300" t="str">
            <v>26252175739001</v>
          </cell>
        </row>
        <row r="301">
          <cell r="B301" t="str">
            <v>ШУМИЛО ТЕТЯНА МИКИТІВНА</v>
          </cell>
          <cell r="C301" t="str">
            <v>1886506582</v>
          </cell>
          <cell r="D301" t="str">
            <v>26253059962001</v>
          </cell>
        </row>
        <row r="302">
          <cell r="B302" t="str">
            <v>ШУХ ЛЮДМИЛА АНАТОЛІЇВНА</v>
          </cell>
          <cell r="C302" t="str">
            <v>2401608303</v>
          </cell>
          <cell r="D302" t="str">
            <v>26257189720001</v>
          </cell>
        </row>
        <row r="303">
          <cell r="B303" t="str">
            <v>ЩЕРБИНА АНДРIЙ АНАТОЛIЙОВИЧ</v>
          </cell>
          <cell r="C303" t="str">
            <v>2450610890</v>
          </cell>
          <cell r="D303" t="str">
            <v>26259070796001</v>
          </cell>
        </row>
        <row r="304">
          <cell r="B304" t="str">
            <v>ЮХНО ЛЮДМИЛА ОЛЕКСАНДРІВНА</v>
          </cell>
          <cell r="C304" t="str">
            <v>2558317547</v>
          </cell>
          <cell r="D304" t="str">
            <v>26257063039001</v>
          </cell>
        </row>
        <row r="305">
          <cell r="B305" t="str">
            <v>ЯКОВЕНКО ТЕТЯНА МИХАЙЛІВНА</v>
          </cell>
          <cell r="C305" t="str">
            <v>2517802867</v>
          </cell>
          <cell r="D305" t="str">
            <v>26259187258001</v>
          </cell>
        </row>
        <row r="306">
          <cell r="B306" t="str">
            <v>ЯКУБОВСЬКИЙ ВАЛЕРІЙ ПЕТРОВИЧ</v>
          </cell>
          <cell r="C306" t="str">
            <v>2070819238</v>
          </cell>
          <cell r="D306" t="str">
            <v>26251074660001</v>
          </cell>
        </row>
        <row r="307">
          <cell r="B307" t="str">
            <v>ЯКУХНОВА ОЛЬГА СТЕПАНІВНА</v>
          </cell>
          <cell r="C307" t="str">
            <v>2027908261</v>
          </cell>
          <cell r="D307" t="str">
            <v>26256067650001</v>
          </cell>
        </row>
        <row r="308">
          <cell r="B308" t="str">
            <v>ЯРКО ЛЮДМИЛА ВОЛОДИМИРІВНА</v>
          </cell>
          <cell r="C308" t="str">
            <v>2975807043</v>
          </cell>
          <cell r="D308" t="str">
            <v>26251156544001</v>
          </cell>
        </row>
        <row r="309">
          <cell r="B309" t="str">
            <v>ЯРОШЕВСЬКИЙ ВІКТОР СТЕПАНОВИЧ</v>
          </cell>
          <cell r="C309" t="str">
            <v>2065702579</v>
          </cell>
          <cell r="D309" t="str">
            <v>26254076513001</v>
          </cell>
        </row>
        <row r="310">
          <cell r="B310" t="str">
            <v>ЯСІНСЬКА ЛЮДМИЛА ГЕННАДІЇВНА</v>
          </cell>
          <cell r="C310" t="str">
            <v>1964609380</v>
          </cell>
          <cell r="D310" t="str">
            <v>26253181443001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7  інші витрати"/>
      <sheetName val="додаток до звіту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7  інші витрати"/>
      <sheetName val="Лист1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Правила ДДС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Лист1"/>
      <sheetName val="consolidation hq formatted"/>
      <sheetName val="Ener 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Ener "/>
      <sheetName val="Технич лист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  <sheetName val="7  інші витрати"/>
      <sheetName val="ПАРАМЕТР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за  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додаток  3"/>
      <sheetName val="т17мб(шаблон)"/>
      <sheetName val="Set"/>
      <sheetName val="учасники"/>
      <sheetName val="объект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ікація"/>
      <sheetName val="штат-розп"/>
      <sheetName val="ЗВ штат-розп"/>
    </sheetNames>
    <sheetDataSet>
      <sheetData sheetId="0" refreshError="1"/>
      <sheetData sheetId="1">
        <row r="231">
          <cell r="K231">
            <v>3</v>
          </cell>
        </row>
        <row r="232">
          <cell r="K232">
            <v>13</v>
          </cell>
        </row>
        <row r="233">
          <cell r="K233">
            <v>46.5</v>
          </cell>
        </row>
        <row r="234">
          <cell r="K234">
            <v>96.5</v>
          </cell>
        </row>
        <row r="235">
          <cell r="K235">
            <v>45</v>
          </cell>
        </row>
        <row r="236">
          <cell r="K236">
            <v>46.5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tender/UA-2022-01-24-008182-b" TargetMode="External"/><Relationship Id="rId13" Type="http://schemas.openxmlformats.org/officeDocument/2006/relationships/hyperlink" Target="https://prozorro.gov.ua/tender/UA-2022-06-16-005707-a" TargetMode="External"/><Relationship Id="rId3" Type="http://schemas.openxmlformats.org/officeDocument/2006/relationships/hyperlink" Target="https://prozorro.gov.ua/tender/UA-2022-01-26-008402-b" TargetMode="External"/><Relationship Id="rId7" Type="http://schemas.openxmlformats.org/officeDocument/2006/relationships/hyperlink" Target="https://prozorro.gov.ua/tender/UA-2022-03-24-003253-b" TargetMode="External"/><Relationship Id="rId12" Type="http://schemas.openxmlformats.org/officeDocument/2006/relationships/hyperlink" Target="https://prozorro.gov.ua/tender/UA-2022-06-23-002141-a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s://prozorro.gov.ua/tender/UA-2022-02-15-004370-b" TargetMode="External"/><Relationship Id="rId16" Type="http://schemas.openxmlformats.org/officeDocument/2006/relationships/hyperlink" Target="https://prozorro.gov.ua/tender/UA-2022-09-14-006362-a" TargetMode="External"/><Relationship Id="rId1" Type="http://schemas.openxmlformats.org/officeDocument/2006/relationships/hyperlink" Target="https://prozorro.gov.ua/tender/UA-2022-05-27-002362-a" TargetMode="External"/><Relationship Id="rId6" Type="http://schemas.openxmlformats.org/officeDocument/2006/relationships/hyperlink" Target="https://prozorro.gov.ua/tender/UA-2022-06-14-003890-a" TargetMode="External"/><Relationship Id="rId11" Type="http://schemas.openxmlformats.org/officeDocument/2006/relationships/hyperlink" Target="https://prozorro.gov.ua/tender/UA-2022-06-09-002320-a" TargetMode="External"/><Relationship Id="rId5" Type="http://schemas.openxmlformats.org/officeDocument/2006/relationships/hyperlink" Target="https://prozorro.gov.ua/tender/UA-2022-06-15-004172-a" TargetMode="External"/><Relationship Id="rId15" Type="http://schemas.openxmlformats.org/officeDocument/2006/relationships/hyperlink" Target="https://prozorro.gov.ua/tender/UA-2022-09-06-009534-a" TargetMode="External"/><Relationship Id="rId10" Type="http://schemas.openxmlformats.org/officeDocument/2006/relationships/hyperlink" Target="https://prozorro.gov.ua/tender/UA-2022-06-07-006394-a" TargetMode="External"/><Relationship Id="rId4" Type="http://schemas.openxmlformats.org/officeDocument/2006/relationships/hyperlink" Target="https://prozorro.gov.ua/tender/UA-2022-04-20-000925-a" TargetMode="External"/><Relationship Id="rId9" Type="http://schemas.openxmlformats.org/officeDocument/2006/relationships/hyperlink" Target="https://prozorro.gov.ua/tender/UA-2022-05-20-003869-a" TargetMode="External"/><Relationship Id="rId14" Type="http://schemas.openxmlformats.org/officeDocument/2006/relationships/hyperlink" Target="https://prozorro.gov.ua/tender/UA-2022-06-15-003675-a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zorro.gov.ua/tender/UA-2022-02-28-000885-a" TargetMode="External"/><Relationship Id="rId18" Type="http://schemas.openxmlformats.org/officeDocument/2006/relationships/hyperlink" Target="https://prozorro.gov.ua/tender/UA-2022-03-23-003545-b" TargetMode="External"/><Relationship Id="rId26" Type="http://schemas.openxmlformats.org/officeDocument/2006/relationships/hyperlink" Target="https://prozorro.gov.ua/tender/UA-2022-04-20-000925-a" TargetMode="External"/><Relationship Id="rId39" Type="http://schemas.openxmlformats.org/officeDocument/2006/relationships/hyperlink" Target="https://prozorro.gov.ua/tender/UA-2022-06-23-000751-a" TargetMode="External"/><Relationship Id="rId21" Type="http://schemas.openxmlformats.org/officeDocument/2006/relationships/hyperlink" Target="https://prozorro.gov.ua/tender/UA-2022-03-21-001032-a" TargetMode="External"/><Relationship Id="rId34" Type="http://schemas.openxmlformats.org/officeDocument/2006/relationships/hyperlink" Target="https://prozorro.gov.ua/tender/UA-2022-06-15-006450-a" TargetMode="External"/><Relationship Id="rId42" Type="http://schemas.openxmlformats.org/officeDocument/2006/relationships/hyperlink" Target="https://prozorro.gov.ua/tender/UA-2022-07-06-000137-a" TargetMode="External"/><Relationship Id="rId47" Type="http://schemas.openxmlformats.org/officeDocument/2006/relationships/hyperlink" Target="https://prozorro.gov.ua/tender/UA-2022-07-11-001697-a" TargetMode="External"/><Relationship Id="rId50" Type="http://schemas.openxmlformats.org/officeDocument/2006/relationships/hyperlink" Target="https://prozorro.gov.ua/tender/UA-2022-07-25-002801-a" TargetMode="External"/><Relationship Id="rId55" Type="http://schemas.openxmlformats.org/officeDocument/2006/relationships/hyperlink" Target="https://prozorro.gov.ua/tender/UA-2022-04-20-000925-a" TargetMode="External"/><Relationship Id="rId63" Type="http://schemas.openxmlformats.org/officeDocument/2006/relationships/hyperlink" Target="https://prozorro.gov.ua/tender/UA-2022-10-04-008957-a" TargetMode="External"/><Relationship Id="rId68" Type="http://schemas.openxmlformats.org/officeDocument/2006/relationships/printerSettings" Target="../printerSettings/printerSettings5.bin"/><Relationship Id="rId7" Type="http://schemas.openxmlformats.org/officeDocument/2006/relationships/hyperlink" Target="https://prozorro.gov.ua/tender/UA-2021-12-28-012359-c" TargetMode="External"/><Relationship Id="rId2" Type="http://schemas.openxmlformats.org/officeDocument/2006/relationships/hyperlink" Target="https://prozorro.gov.ua/tender/UA-2021-12-23-004838-c" TargetMode="External"/><Relationship Id="rId16" Type="http://schemas.openxmlformats.org/officeDocument/2006/relationships/hyperlink" Target="https://prozorro.gov.ua/tender/UA-2022-03-01-002063-a" TargetMode="External"/><Relationship Id="rId29" Type="http://schemas.openxmlformats.org/officeDocument/2006/relationships/hyperlink" Target="https://prozorro.gov.ua/tender/UA-2022-05-25-002037-a" TargetMode="External"/><Relationship Id="rId1" Type="http://schemas.openxmlformats.org/officeDocument/2006/relationships/hyperlink" Target="https://prozorro.gov.ua/tender/UA-2021-12-23-004838-c" TargetMode="External"/><Relationship Id="rId6" Type="http://schemas.openxmlformats.org/officeDocument/2006/relationships/hyperlink" Target="https://prozorro.gov.ua/tender/UA-2021-12-27-000964-c" TargetMode="External"/><Relationship Id="rId11" Type="http://schemas.openxmlformats.org/officeDocument/2006/relationships/hyperlink" Target="https://prozorro.gov.ua/tender/UA-2022-02-09-006512-b" TargetMode="External"/><Relationship Id="rId24" Type="http://schemas.openxmlformats.org/officeDocument/2006/relationships/hyperlink" Target="https://prozorro.gov.ua/tender/UA-2022-04-08-001715-b" TargetMode="External"/><Relationship Id="rId32" Type="http://schemas.openxmlformats.org/officeDocument/2006/relationships/hyperlink" Target="https://prozorro.gov.ua/tender/UA-2022-06-03-003938-a" TargetMode="External"/><Relationship Id="rId37" Type="http://schemas.openxmlformats.org/officeDocument/2006/relationships/hyperlink" Target="https://prozorro.gov.ua/tender/UA-2022-06-21-003178-a" TargetMode="External"/><Relationship Id="rId40" Type="http://schemas.openxmlformats.org/officeDocument/2006/relationships/hyperlink" Target="https://prozorro.gov.ua/tender/UA-2022-06-23-000751-a" TargetMode="External"/><Relationship Id="rId45" Type="http://schemas.openxmlformats.org/officeDocument/2006/relationships/hyperlink" Target="https://prozorro.gov.ua/tender/UA-2022-07-01-005673-a" TargetMode="External"/><Relationship Id="rId53" Type="http://schemas.openxmlformats.org/officeDocument/2006/relationships/hyperlink" Target="https://prozorro.gov.ua/tender/UA-2022-09-06-007256-a" TargetMode="External"/><Relationship Id="rId58" Type="http://schemas.openxmlformats.org/officeDocument/2006/relationships/hyperlink" Target="https://prozorro.gov.ua/tender/UA-2022-09-16-004153-a" TargetMode="External"/><Relationship Id="rId66" Type="http://schemas.openxmlformats.org/officeDocument/2006/relationships/hyperlink" Target="https://prozorro.gov.ua/tender/UA-2022-10-04-002820-a" TargetMode="External"/><Relationship Id="rId5" Type="http://schemas.openxmlformats.org/officeDocument/2006/relationships/hyperlink" Target="https://prozorro.gov.ua/tender/UA-2021-12-28-012359-c" TargetMode="External"/><Relationship Id="rId15" Type="http://schemas.openxmlformats.org/officeDocument/2006/relationships/hyperlink" Target="https://prozorro.gov.ua/tender/UA-2022-02-28-001856-a" TargetMode="External"/><Relationship Id="rId23" Type="http://schemas.openxmlformats.org/officeDocument/2006/relationships/hyperlink" Target="https://prozorro.gov.ua/tender/UA-2022-04-05-003127-b" TargetMode="External"/><Relationship Id="rId28" Type="http://schemas.openxmlformats.org/officeDocument/2006/relationships/hyperlink" Target="https://prozorro.gov.ua/tender/UA-2022-05-25-002037-a" TargetMode="External"/><Relationship Id="rId36" Type="http://schemas.openxmlformats.org/officeDocument/2006/relationships/hyperlink" Target="https://prozorro.gov.ua/tender/UA-2022-06-17-004896-a" TargetMode="External"/><Relationship Id="rId49" Type="http://schemas.openxmlformats.org/officeDocument/2006/relationships/hyperlink" Target="https://prozorro.gov.ua/tender/UA-2022-07-25-002801-a" TargetMode="External"/><Relationship Id="rId57" Type="http://schemas.openxmlformats.org/officeDocument/2006/relationships/hyperlink" Target="https://prozorro.gov.ua/tender/UA-2022-09-16-004153-a" TargetMode="External"/><Relationship Id="rId61" Type="http://schemas.openxmlformats.org/officeDocument/2006/relationships/hyperlink" Target="https://prozorro.gov.ua/tender/UA-2022-09-16-008121-a" TargetMode="External"/><Relationship Id="rId10" Type="http://schemas.openxmlformats.org/officeDocument/2006/relationships/hyperlink" Target="https://prozorro.gov.ua/tender/UA-2022-02-08-005472-b" TargetMode="External"/><Relationship Id="rId19" Type="http://schemas.openxmlformats.org/officeDocument/2006/relationships/hyperlink" Target="https://prozorro.gov.ua/tender/UA-2022-03-23-003545-b" TargetMode="External"/><Relationship Id="rId31" Type="http://schemas.openxmlformats.org/officeDocument/2006/relationships/hyperlink" Target="https://prozorro.gov.ua/tender/UA-2022-06-03-003938-a" TargetMode="External"/><Relationship Id="rId44" Type="http://schemas.openxmlformats.org/officeDocument/2006/relationships/hyperlink" Target="https://prozorro.gov.ua/tender/UA-2022-06-15-003341-a" TargetMode="External"/><Relationship Id="rId52" Type="http://schemas.openxmlformats.org/officeDocument/2006/relationships/hyperlink" Target="https://prozorro.gov.ua/tender/UA-2022-08-30-000874-a" TargetMode="External"/><Relationship Id="rId60" Type="http://schemas.openxmlformats.org/officeDocument/2006/relationships/hyperlink" Target="https://prozorro.gov.ua/tender/UA-2022-09-16-008376-a" TargetMode="External"/><Relationship Id="rId65" Type="http://schemas.openxmlformats.org/officeDocument/2006/relationships/hyperlink" Target="https://prozorro.gov.ua/tender/UA-2022-10-04-002820-a" TargetMode="External"/><Relationship Id="rId4" Type="http://schemas.openxmlformats.org/officeDocument/2006/relationships/hyperlink" Target="https://prozorro.gov.ua/tender/UA-2021-12-23-001011-c" TargetMode="External"/><Relationship Id="rId9" Type="http://schemas.openxmlformats.org/officeDocument/2006/relationships/hyperlink" Target="https://prozorro.gov.ua/tender/UA-2022-02-08-005472-b" TargetMode="External"/><Relationship Id="rId14" Type="http://schemas.openxmlformats.org/officeDocument/2006/relationships/hyperlink" Target="https://prozorro.gov.ua/tender/UA-2022-02-28-001856-a" TargetMode="External"/><Relationship Id="rId22" Type="http://schemas.openxmlformats.org/officeDocument/2006/relationships/hyperlink" Target="https://prozorro.gov.ua/tender/UA-2022-04-05-003127-b" TargetMode="External"/><Relationship Id="rId27" Type="http://schemas.openxmlformats.org/officeDocument/2006/relationships/hyperlink" Target="https://prozorro.gov.ua/tender/UA-2022-04-20-000925-a" TargetMode="External"/><Relationship Id="rId30" Type="http://schemas.openxmlformats.org/officeDocument/2006/relationships/hyperlink" Target="https://prozorro.gov.ua/tender/UA-2022-04-05-003127-b" TargetMode="External"/><Relationship Id="rId35" Type="http://schemas.openxmlformats.org/officeDocument/2006/relationships/hyperlink" Target="https://prozorro.gov.ua/tender/UA-2022-06-17-004896-a" TargetMode="External"/><Relationship Id="rId43" Type="http://schemas.openxmlformats.org/officeDocument/2006/relationships/hyperlink" Target="https://prozorro.gov.ua/tender/UA-2022-06-15-003341-a" TargetMode="External"/><Relationship Id="rId48" Type="http://schemas.openxmlformats.org/officeDocument/2006/relationships/hyperlink" Target="https://prozorro.gov.ua/tender/UA-2022-07-11-001697-a" TargetMode="External"/><Relationship Id="rId56" Type="http://schemas.openxmlformats.org/officeDocument/2006/relationships/hyperlink" Target="https://prozorro.gov.ua/tender/UA-2022-04-20-000925-a" TargetMode="External"/><Relationship Id="rId64" Type="http://schemas.openxmlformats.org/officeDocument/2006/relationships/hyperlink" Target="https://prozorro.gov.ua/tender/UA-2022-10-04-008957-a" TargetMode="External"/><Relationship Id="rId8" Type="http://schemas.openxmlformats.org/officeDocument/2006/relationships/hyperlink" Target="https://prozorro.gov.ua/tender/UA-2021-12-27-000964-c" TargetMode="External"/><Relationship Id="rId51" Type="http://schemas.openxmlformats.org/officeDocument/2006/relationships/hyperlink" Target="https://prozorro.gov.ua/tender/UA-2022-08-30-000874-a" TargetMode="External"/><Relationship Id="rId3" Type="http://schemas.openxmlformats.org/officeDocument/2006/relationships/hyperlink" Target="https://prozorro.gov.ua/tender/UA-2021-12-23-001011-c" TargetMode="External"/><Relationship Id="rId12" Type="http://schemas.openxmlformats.org/officeDocument/2006/relationships/hyperlink" Target="https://prozorro.gov.ua/tender/UA-2022-02-28-000885-a" TargetMode="External"/><Relationship Id="rId17" Type="http://schemas.openxmlformats.org/officeDocument/2006/relationships/hyperlink" Target="https://prozorro.gov.ua/tender/UA-2022-03-01-002063-a" TargetMode="External"/><Relationship Id="rId25" Type="http://schemas.openxmlformats.org/officeDocument/2006/relationships/hyperlink" Target="https://prozorro.gov.ua/tender/UA-2022-04-08-001715-b" TargetMode="External"/><Relationship Id="rId33" Type="http://schemas.openxmlformats.org/officeDocument/2006/relationships/hyperlink" Target="https://prozorro.gov.ua/tender/UA-2022-06-15-006450-a" TargetMode="External"/><Relationship Id="rId38" Type="http://schemas.openxmlformats.org/officeDocument/2006/relationships/hyperlink" Target="https://prozorro.gov.ua/tender/UA-2022-06-21-003178-a" TargetMode="External"/><Relationship Id="rId46" Type="http://schemas.openxmlformats.org/officeDocument/2006/relationships/hyperlink" Target="https://prozorro.gov.ua/tender/UA-2022-07-01-005673-a" TargetMode="External"/><Relationship Id="rId59" Type="http://schemas.openxmlformats.org/officeDocument/2006/relationships/hyperlink" Target="https://prozorro.gov.ua/tender/UA-2022-09-16-008376-a" TargetMode="External"/><Relationship Id="rId67" Type="http://schemas.openxmlformats.org/officeDocument/2006/relationships/hyperlink" Target="https://prozorro.gov.ua/tender/UA-2022-10-11-005598-a" TargetMode="External"/><Relationship Id="rId20" Type="http://schemas.openxmlformats.org/officeDocument/2006/relationships/hyperlink" Target="https://prozorro.gov.ua/tender/UA-2022-03-21-001032-a" TargetMode="External"/><Relationship Id="rId41" Type="http://schemas.openxmlformats.org/officeDocument/2006/relationships/hyperlink" Target="https://prozorro.gov.ua/tender/UA-2022-07-06-000137-a" TargetMode="External"/><Relationship Id="rId54" Type="http://schemas.openxmlformats.org/officeDocument/2006/relationships/hyperlink" Target="https://prozorro.gov.ua/tender/UA-2022-09-06-007256-a" TargetMode="External"/><Relationship Id="rId62" Type="http://schemas.openxmlformats.org/officeDocument/2006/relationships/hyperlink" Target="https://prozorro.gov.ua/tender/UA-2022-09-16-008121-a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tender/UA-2023-02-14-014990-a" TargetMode="External"/><Relationship Id="rId13" Type="http://schemas.openxmlformats.org/officeDocument/2006/relationships/hyperlink" Target="https://prozorro.gov.ua/tender/UA-2023-02-17-001227-a" TargetMode="External"/><Relationship Id="rId18" Type="http://schemas.openxmlformats.org/officeDocument/2006/relationships/hyperlink" Target="https://prozorro.gov.ua/plan/UA-P-2023-03-21-000467-c" TargetMode="External"/><Relationship Id="rId26" Type="http://schemas.openxmlformats.org/officeDocument/2006/relationships/hyperlink" Target="https://prozorro.gov.ua/plan/UA-P-2023-05-15-005169-b" TargetMode="External"/><Relationship Id="rId3" Type="http://schemas.openxmlformats.org/officeDocument/2006/relationships/hyperlink" Target="https://prozorro.gov.ua/tender/UA-2023-02-14-014990-a" TargetMode="External"/><Relationship Id="rId21" Type="http://schemas.openxmlformats.org/officeDocument/2006/relationships/hyperlink" Target="https://prozorro.gov.ua/plan/UA-P-2023-03-21-000467-c" TargetMode="External"/><Relationship Id="rId7" Type="http://schemas.openxmlformats.org/officeDocument/2006/relationships/hyperlink" Target="https://prozorro.gov.ua/tender/UA-2023-02-21-003469-a" TargetMode="External"/><Relationship Id="rId12" Type="http://schemas.openxmlformats.org/officeDocument/2006/relationships/hyperlink" Target="https://prozorro.gov.ua/tender/UA-2023-02-13-007961-a" TargetMode="External"/><Relationship Id="rId17" Type="http://schemas.openxmlformats.org/officeDocument/2006/relationships/hyperlink" Target="https://prozorro.gov.ua/tender/UA-2023-03-15-007710-a" TargetMode="External"/><Relationship Id="rId25" Type="http://schemas.openxmlformats.org/officeDocument/2006/relationships/hyperlink" Target="https://prozorro.gov.ua/tender/UA-2023-02-17-001227-a" TargetMode="External"/><Relationship Id="rId2" Type="http://schemas.openxmlformats.org/officeDocument/2006/relationships/hyperlink" Target="https://prozorro.gov.ua/tender/UA-2023-02-15-008923-a" TargetMode="External"/><Relationship Id="rId16" Type="http://schemas.openxmlformats.org/officeDocument/2006/relationships/hyperlink" Target="https://prozorro.gov.ua/tender/UA-2023-03-15-007710-a" TargetMode="External"/><Relationship Id="rId20" Type="http://schemas.openxmlformats.org/officeDocument/2006/relationships/hyperlink" Target="https://prozorro.gov.ua/plan/UA-P-2023-03-21-000467-c" TargetMode="External"/><Relationship Id="rId1" Type="http://schemas.openxmlformats.org/officeDocument/2006/relationships/hyperlink" Target="https://prozorro.gov.ua/tender/UA-2022-11-15-000746-a" TargetMode="External"/><Relationship Id="rId6" Type="http://schemas.openxmlformats.org/officeDocument/2006/relationships/hyperlink" Target="https://prozorro.gov.ua/tender/UA-2023-02-13-007961-a" TargetMode="External"/><Relationship Id="rId11" Type="http://schemas.openxmlformats.org/officeDocument/2006/relationships/hyperlink" Target="https://prozorro.gov.ua/tender/UA-2023-02-21-003469-a" TargetMode="External"/><Relationship Id="rId24" Type="http://schemas.openxmlformats.org/officeDocument/2006/relationships/hyperlink" Target="https://prozorro.gov.ua/tender/UA-2022-11-15-000746-a" TargetMode="External"/><Relationship Id="rId5" Type="http://schemas.openxmlformats.org/officeDocument/2006/relationships/hyperlink" Target="https://prozorro.gov.ua/tender/UA-2023-02-08-011239-a" TargetMode="External"/><Relationship Id="rId15" Type="http://schemas.openxmlformats.org/officeDocument/2006/relationships/hyperlink" Target="https://prozorro.gov.ua/tender/UA-2023-03-08-007447-a" TargetMode="External"/><Relationship Id="rId23" Type="http://schemas.openxmlformats.org/officeDocument/2006/relationships/hyperlink" Target="https://prozorro.gov.ua/plan/UA-P-2023-05-15-005169-b" TargetMode="External"/><Relationship Id="rId28" Type="http://schemas.openxmlformats.org/officeDocument/2006/relationships/printerSettings" Target="../printerSettings/printerSettings6.bin"/><Relationship Id="rId10" Type="http://schemas.openxmlformats.org/officeDocument/2006/relationships/hyperlink" Target="https://prozorro.gov.ua/tender/UA-2023-02-15-008923-a" TargetMode="External"/><Relationship Id="rId19" Type="http://schemas.openxmlformats.org/officeDocument/2006/relationships/hyperlink" Target="https://prozorro.gov.ua/plan/UA-P-2023-03-21-000467-c" TargetMode="External"/><Relationship Id="rId4" Type="http://schemas.openxmlformats.org/officeDocument/2006/relationships/hyperlink" Target="https://prozorro.gov.ua/tender/UA-2023-02-17-001227-a" TargetMode="External"/><Relationship Id="rId9" Type="http://schemas.openxmlformats.org/officeDocument/2006/relationships/hyperlink" Target="https://prozorro.gov.ua/tender/UA-2023-02-08-011239-a" TargetMode="External"/><Relationship Id="rId14" Type="http://schemas.openxmlformats.org/officeDocument/2006/relationships/hyperlink" Target="https://prozorro.gov.ua/tender/UA-2023-03-02-006915-a" TargetMode="External"/><Relationship Id="rId22" Type="http://schemas.openxmlformats.org/officeDocument/2006/relationships/hyperlink" Target="https://prozorro.gov.ua/tender/UA-2023-04-07-009129-a" TargetMode="External"/><Relationship Id="rId27" Type="http://schemas.openxmlformats.org/officeDocument/2006/relationships/hyperlink" Target="https://prozorro.gov.ua/plan/UA-P-2023-05-15-005169-b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zs.dkpp.rv.ua/index.php?level=15610000-7" TargetMode="External"/><Relationship Id="rId13" Type="http://schemas.openxmlformats.org/officeDocument/2006/relationships/hyperlink" Target="https://ezs.dkpp.rv.ua/index.php?level=15850000-1" TargetMode="External"/><Relationship Id="rId18" Type="http://schemas.openxmlformats.org/officeDocument/2006/relationships/hyperlink" Target="https://ezs.dkpp.rv.ua/index.php?level=15860000-4" TargetMode="External"/><Relationship Id="rId26" Type="http://schemas.openxmlformats.org/officeDocument/2006/relationships/hyperlink" Target="https://ezs.dkpp.rv.ua/index.php?level=15890000-3" TargetMode="External"/><Relationship Id="rId3" Type="http://schemas.openxmlformats.org/officeDocument/2006/relationships/hyperlink" Target="https://ezs.dkpp.rv.ua/index.php?search=03220000-9&amp;type=code" TargetMode="External"/><Relationship Id="rId21" Type="http://schemas.openxmlformats.org/officeDocument/2006/relationships/hyperlink" Target="https://ezs.dkpp.rv.ua/index.php?search=03220000-9&amp;type=code" TargetMode="External"/><Relationship Id="rId7" Type="http://schemas.openxmlformats.org/officeDocument/2006/relationships/hyperlink" Target="https://ezs.dkpp.rv.ua/index.php?search=15610000-7&amp;type=code" TargetMode="External"/><Relationship Id="rId12" Type="http://schemas.openxmlformats.org/officeDocument/2006/relationships/hyperlink" Target="https://ezs.dkpp.rv.ua/index.php?search=15850000-1&amp;type=code" TargetMode="External"/><Relationship Id="rId17" Type="http://schemas.openxmlformats.org/officeDocument/2006/relationships/hyperlink" Target="https://ezs.dkpp.rv.ua/index.php?search=15860000-4&amp;type=code" TargetMode="External"/><Relationship Id="rId25" Type="http://schemas.openxmlformats.org/officeDocument/2006/relationships/hyperlink" Target="https://ezs.dkpp.rv.ua/index.php?search=15890000-3&amp;type=code" TargetMode="External"/><Relationship Id="rId33" Type="http://schemas.openxmlformats.org/officeDocument/2006/relationships/printerSettings" Target="../printerSettings/printerSettings7.bin"/><Relationship Id="rId2" Type="http://schemas.openxmlformats.org/officeDocument/2006/relationships/hyperlink" Target="https://ezs.dkpp.rv.ua/index.php?level=15510000-6" TargetMode="External"/><Relationship Id="rId16" Type="http://schemas.openxmlformats.org/officeDocument/2006/relationships/hyperlink" Target="https://prozorro.gov.ua/tender/UA-2021-04-09-007264-a" TargetMode="External"/><Relationship Id="rId20" Type="http://schemas.openxmlformats.org/officeDocument/2006/relationships/hyperlink" Target="https://ezs.dkpp.rv.ua/index.php?level=03220000-9" TargetMode="External"/><Relationship Id="rId29" Type="http://schemas.openxmlformats.org/officeDocument/2006/relationships/hyperlink" Target="https://ezs.dkpp.rv.ua/index.php?search=15610000-7&amp;type=code" TargetMode="External"/><Relationship Id="rId1" Type="http://schemas.openxmlformats.org/officeDocument/2006/relationships/hyperlink" Target="https://ezs.dkpp.rv.ua/index.php?search=15510000-6&amp;type=code" TargetMode="External"/><Relationship Id="rId6" Type="http://schemas.openxmlformats.org/officeDocument/2006/relationships/hyperlink" Target="https://ezs.dkpp.rv.ua/index.php?level=15610000-7" TargetMode="External"/><Relationship Id="rId11" Type="http://schemas.openxmlformats.org/officeDocument/2006/relationships/hyperlink" Target="https://ezs.dkpp.rv.ua/index.php?level=15610000-7" TargetMode="External"/><Relationship Id="rId24" Type="http://schemas.openxmlformats.org/officeDocument/2006/relationships/hyperlink" Target="https://ezs.dkpp.rv.ua/index.php?level=15610000-7" TargetMode="External"/><Relationship Id="rId32" Type="http://schemas.openxmlformats.org/officeDocument/2006/relationships/hyperlink" Target="https://ezs.dkpp.rv.ua/index.php?level=03220000-9" TargetMode="External"/><Relationship Id="rId5" Type="http://schemas.openxmlformats.org/officeDocument/2006/relationships/hyperlink" Target="https://ezs.dkpp.rv.ua/index.php?search=15610000-7&amp;type=code" TargetMode="External"/><Relationship Id="rId15" Type="http://schemas.openxmlformats.org/officeDocument/2006/relationships/hyperlink" Target="https://ezs.dkpp.rv.ua/index.php?search=15610000-7&amp;type=code" TargetMode="External"/><Relationship Id="rId23" Type="http://schemas.openxmlformats.org/officeDocument/2006/relationships/hyperlink" Target="https://ezs.dkpp.rv.ua/index.php?search=15610000-7&amp;type=code" TargetMode="External"/><Relationship Id="rId28" Type="http://schemas.openxmlformats.org/officeDocument/2006/relationships/hyperlink" Target="https://ezs.dkpp.rv.ua/index.php?level=15330000-0" TargetMode="External"/><Relationship Id="rId10" Type="http://schemas.openxmlformats.org/officeDocument/2006/relationships/hyperlink" Target="https://ezs.dkpp.rv.ua/index.php?search=15610000-7&amp;type=code" TargetMode="External"/><Relationship Id="rId19" Type="http://schemas.openxmlformats.org/officeDocument/2006/relationships/hyperlink" Target="https://ezs.dkpp.rv.ua/index.php?search=03220000-9&amp;type=code" TargetMode="External"/><Relationship Id="rId31" Type="http://schemas.openxmlformats.org/officeDocument/2006/relationships/hyperlink" Target="https://ezs.dkpp.rv.ua/index.php?search=03220000-9&amp;type=code" TargetMode="External"/><Relationship Id="rId4" Type="http://schemas.openxmlformats.org/officeDocument/2006/relationships/hyperlink" Target="https://ezs.dkpp.rv.ua/index.php?level=03220000-9" TargetMode="External"/><Relationship Id="rId9" Type="http://schemas.openxmlformats.org/officeDocument/2006/relationships/hyperlink" Target="https://ezs.dkpp.rv.ua/index.php?search=15610000-7&amp;type=code" TargetMode="External"/><Relationship Id="rId14" Type="http://schemas.openxmlformats.org/officeDocument/2006/relationships/hyperlink" Target="https://ezs.dkpp.rv.ua/index.php?level=15610000-7" TargetMode="External"/><Relationship Id="rId22" Type="http://schemas.openxmlformats.org/officeDocument/2006/relationships/hyperlink" Target="https://ezs.dkpp.rv.ua/index.php?level=03220000-9" TargetMode="External"/><Relationship Id="rId27" Type="http://schemas.openxmlformats.org/officeDocument/2006/relationships/hyperlink" Target="https://ezs.dkpp.rv.ua/index.php?search=15330000-0&amp;type=code" TargetMode="External"/><Relationship Id="rId30" Type="http://schemas.openxmlformats.org/officeDocument/2006/relationships/hyperlink" Target="https://ezs.dkpp.rv.ua/index.php?level=15610000-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B1:V366"/>
  <sheetViews>
    <sheetView showGridLines="0" tabSelected="1" view="pageBreakPreview" zoomScale="50" zoomScaleNormal="75" zoomScaleSheetLayoutView="50" workbookViewId="0">
      <selection activeCell="B9" sqref="B9"/>
    </sheetView>
  </sheetViews>
  <sheetFormatPr defaultColWidth="93.140625" defaultRowHeight="23.25"/>
  <cols>
    <col min="1" max="1" width="7.28515625" style="2" customWidth="1"/>
    <col min="2" max="2" width="123.28515625" style="1" customWidth="1"/>
    <col min="3" max="3" width="13.42578125" style="382" bestFit="1" customWidth="1"/>
    <col min="4" max="4" width="18.140625" style="382" hidden="1" customWidth="1"/>
    <col min="5" max="5" width="22.85546875" style="382" customWidth="1"/>
    <col min="6" max="6" width="27.42578125" style="382" hidden="1" customWidth="1"/>
    <col min="7" max="7" width="29.5703125" style="1" customWidth="1"/>
    <col min="8" max="8" width="25.140625" style="1" customWidth="1"/>
    <col min="9" max="9" width="25.7109375" style="1" customWidth="1"/>
    <col min="10" max="10" width="29.140625" style="1" customWidth="1"/>
    <col min="11" max="11" width="25.42578125" style="1" customWidth="1"/>
    <col min="12" max="12" width="23.28515625" style="604" hidden="1" customWidth="1"/>
    <col min="13" max="13" width="31.85546875" style="2" hidden="1" customWidth="1"/>
    <col min="14" max="14" width="28.85546875" style="2" hidden="1" customWidth="1"/>
    <col min="15" max="18" width="20.140625" style="2" hidden="1" customWidth="1"/>
    <col min="19" max="19" width="9.140625" style="2" hidden="1" customWidth="1"/>
    <col min="20" max="20" width="17" style="2" hidden="1" customWidth="1"/>
    <col min="21" max="224" width="9.140625" style="2" customWidth="1"/>
    <col min="225" max="16384" width="93.140625" style="2"/>
  </cols>
  <sheetData>
    <row r="1" spans="2:12" s="1" customFormat="1">
      <c r="B1" s="378"/>
      <c r="C1" s="379"/>
      <c r="D1" s="379"/>
      <c r="E1" s="379"/>
      <c r="F1" s="379"/>
      <c r="G1" s="379"/>
      <c r="L1" s="604"/>
    </row>
    <row r="2" spans="2:12" s="1" customFormat="1" ht="26.25">
      <c r="B2" s="378"/>
      <c r="C2" s="379" t="s">
        <v>1425</v>
      </c>
      <c r="D2" s="379"/>
      <c r="E2" s="379"/>
      <c r="F2" s="379"/>
      <c r="G2" s="379"/>
      <c r="H2" s="436" t="s">
        <v>1679</v>
      </c>
      <c r="I2" s="428"/>
      <c r="J2" s="436"/>
      <c r="K2" s="436"/>
      <c r="L2" s="604"/>
    </row>
    <row r="3" spans="2:12" s="1" customFormat="1" ht="26.25">
      <c r="B3" s="378"/>
      <c r="C3" s="379"/>
      <c r="D3" s="379"/>
      <c r="E3" s="379"/>
      <c r="F3" s="379"/>
      <c r="G3" s="379"/>
      <c r="H3" s="428" t="s">
        <v>1676</v>
      </c>
      <c r="I3" s="428"/>
      <c r="J3" s="437"/>
      <c r="K3" s="437"/>
      <c r="L3" s="604"/>
    </row>
    <row r="4" spans="2:12" s="1" customFormat="1" ht="26.25">
      <c r="B4" s="378"/>
      <c r="C4" s="379"/>
      <c r="D4" s="379"/>
      <c r="E4" s="379"/>
      <c r="F4" s="379"/>
      <c r="G4" s="379"/>
      <c r="H4" s="428" t="s">
        <v>199</v>
      </c>
      <c r="I4" s="428"/>
      <c r="J4" s="437"/>
      <c r="K4" s="437"/>
      <c r="L4" s="604"/>
    </row>
    <row r="5" spans="2:12" s="1" customFormat="1" ht="26.25">
      <c r="B5" s="380"/>
      <c r="H5" s="438" t="s">
        <v>1323</v>
      </c>
      <c r="I5" s="439"/>
      <c r="J5" s="438"/>
      <c r="K5" s="438"/>
      <c r="L5" s="604"/>
    </row>
    <row r="6" spans="2:12" s="1" customFormat="1" ht="26.25">
      <c r="B6" s="378"/>
      <c r="C6" s="379"/>
      <c r="D6" s="379"/>
      <c r="E6" s="379"/>
      <c r="F6" s="379"/>
      <c r="G6" s="379"/>
      <c r="H6" s="428" t="s">
        <v>1428</v>
      </c>
      <c r="I6" s="428"/>
      <c r="J6" s="428"/>
      <c r="K6" s="428"/>
      <c r="L6" s="604"/>
    </row>
    <row r="7" spans="2:12" s="1" customFormat="1" ht="26.25">
      <c r="B7" s="381"/>
      <c r="C7" s="379"/>
      <c r="D7" s="379"/>
      <c r="E7" s="379"/>
      <c r="F7" s="379"/>
      <c r="G7" s="379"/>
      <c r="H7" s="439"/>
      <c r="I7" s="439"/>
      <c r="J7" s="440" t="s">
        <v>1324</v>
      </c>
      <c r="K7" s="438"/>
      <c r="L7" s="604"/>
    </row>
    <row r="8" spans="2:12" ht="26.25">
      <c r="B8" s="59"/>
      <c r="H8" s="428" t="s">
        <v>1677</v>
      </c>
      <c r="I8" s="428"/>
      <c r="J8" s="428"/>
      <c r="K8" s="428"/>
    </row>
    <row r="9" spans="2:12" ht="26.25">
      <c r="H9" s="438"/>
      <c r="I9" s="439"/>
      <c r="J9" s="438"/>
      <c r="K9" s="436"/>
    </row>
    <row r="10" spans="2:12">
      <c r="H10" s="383" t="s">
        <v>1429</v>
      </c>
      <c r="I10" s="383"/>
      <c r="J10" s="383"/>
      <c r="K10" s="379"/>
    </row>
    <row r="12" spans="2:12">
      <c r="I12" s="933" t="s">
        <v>1430</v>
      </c>
      <c r="J12" s="933"/>
      <c r="K12" s="384" t="s">
        <v>1518</v>
      </c>
    </row>
    <row r="13" spans="2:12">
      <c r="I13" s="929" t="s">
        <v>1431</v>
      </c>
      <c r="J13" s="929"/>
      <c r="K13" s="384"/>
    </row>
    <row r="14" spans="2:12">
      <c r="I14" s="929" t="s">
        <v>1432</v>
      </c>
      <c r="J14" s="929"/>
      <c r="K14" s="384"/>
    </row>
    <row r="15" spans="2:12">
      <c r="I15" s="929" t="s">
        <v>1433</v>
      </c>
      <c r="J15" s="929"/>
      <c r="K15" s="384"/>
    </row>
    <row r="16" spans="2:12">
      <c r="I16" s="924" t="s">
        <v>1434</v>
      </c>
      <c r="J16" s="924"/>
      <c r="K16" s="924"/>
    </row>
    <row r="18" spans="2:11">
      <c r="B18" s="385" t="s">
        <v>1435</v>
      </c>
      <c r="C18" s="930">
        <v>2025</v>
      </c>
      <c r="D18" s="931"/>
      <c r="E18" s="931"/>
      <c r="F18" s="931"/>
      <c r="G18" s="931"/>
      <c r="H18" s="932"/>
      <c r="I18" s="924" t="s">
        <v>1436</v>
      </c>
      <c r="J18" s="924"/>
      <c r="K18" s="924"/>
    </row>
    <row r="19" spans="2:11" ht="69.95" customHeight="1">
      <c r="B19" s="386" t="s">
        <v>1530</v>
      </c>
      <c r="C19" s="918" t="s">
        <v>1610</v>
      </c>
      <c r="D19" s="918"/>
      <c r="E19" s="918"/>
      <c r="F19" s="918"/>
      <c r="G19" s="925"/>
      <c r="H19" s="925"/>
      <c r="I19" s="929" t="s">
        <v>1437</v>
      </c>
      <c r="J19" s="929"/>
      <c r="K19" s="387" t="s">
        <v>1320</v>
      </c>
    </row>
    <row r="20" spans="2:11">
      <c r="B20" s="386" t="s">
        <v>1438</v>
      </c>
      <c r="C20" s="918" t="s">
        <v>1316</v>
      </c>
      <c r="D20" s="918"/>
      <c r="E20" s="918"/>
      <c r="F20" s="918"/>
      <c r="G20" s="928"/>
      <c r="H20" s="928"/>
      <c r="I20" s="929" t="s">
        <v>1439</v>
      </c>
      <c r="J20" s="929"/>
      <c r="K20" s="384">
        <v>150</v>
      </c>
    </row>
    <row r="21" spans="2:11">
      <c r="B21" s="386" t="s">
        <v>1440</v>
      </c>
      <c r="C21" s="918" t="s">
        <v>1319</v>
      </c>
      <c r="D21" s="918"/>
      <c r="E21" s="918"/>
      <c r="F21" s="918"/>
      <c r="G21" s="925"/>
      <c r="H21" s="925"/>
      <c r="I21" s="929" t="s">
        <v>1441</v>
      </c>
      <c r="J21" s="929"/>
      <c r="K21" s="387" t="s">
        <v>1321</v>
      </c>
    </row>
    <row r="22" spans="2:11">
      <c r="B22" s="386" t="s">
        <v>688</v>
      </c>
      <c r="C22" s="918" t="s">
        <v>1317</v>
      </c>
      <c r="D22" s="918"/>
      <c r="E22" s="918"/>
      <c r="F22" s="918"/>
      <c r="G22" s="925"/>
      <c r="H22" s="925"/>
      <c r="I22" s="929" t="s">
        <v>1318</v>
      </c>
      <c r="J22" s="929"/>
      <c r="K22" s="384">
        <v>17184</v>
      </c>
    </row>
    <row r="23" spans="2:11">
      <c r="B23" s="386" t="s">
        <v>1442</v>
      </c>
      <c r="C23" s="918"/>
      <c r="D23" s="918"/>
      <c r="E23" s="918"/>
      <c r="F23" s="918"/>
      <c r="G23" s="925"/>
      <c r="H23" s="925"/>
      <c r="I23" s="929" t="s">
        <v>1443</v>
      </c>
      <c r="J23" s="929"/>
      <c r="K23" s="384"/>
    </row>
    <row r="24" spans="2:11">
      <c r="B24" s="386" t="s">
        <v>1444</v>
      </c>
      <c r="C24" s="914" t="s">
        <v>1603</v>
      </c>
      <c r="D24" s="914"/>
      <c r="E24" s="914"/>
      <c r="F24" s="914"/>
      <c r="G24" s="914"/>
      <c r="H24" s="925"/>
      <c r="I24" s="929" t="s">
        <v>1445</v>
      </c>
      <c r="J24" s="929"/>
      <c r="K24" s="384" t="s">
        <v>1607</v>
      </c>
    </row>
    <row r="25" spans="2:11">
      <c r="B25" s="386" t="s">
        <v>1446</v>
      </c>
      <c r="C25" s="914" t="s">
        <v>1278</v>
      </c>
      <c r="D25" s="914"/>
      <c r="E25" s="914"/>
      <c r="F25" s="914"/>
      <c r="G25" s="914"/>
      <c r="H25" s="925"/>
      <c r="I25" s="929"/>
      <c r="J25" s="929"/>
      <c r="K25" s="388"/>
    </row>
    <row r="26" spans="2:11">
      <c r="B26" s="386" t="s">
        <v>1447</v>
      </c>
      <c r="C26" s="914" t="s">
        <v>1604</v>
      </c>
      <c r="D26" s="914"/>
      <c r="E26" s="914"/>
      <c r="F26" s="914"/>
      <c r="G26" s="914"/>
      <c r="H26" s="928"/>
      <c r="I26" s="929"/>
      <c r="J26" s="929"/>
      <c r="K26" s="388"/>
    </row>
    <row r="27" spans="2:11">
      <c r="B27" s="386" t="s">
        <v>1448</v>
      </c>
      <c r="C27" s="916">
        <f>G127</f>
        <v>250.5</v>
      </c>
      <c r="D27" s="917"/>
      <c r="E27" s="917"/>
      <c r="F27" s="917"/>
      <c r="G27" s="917"/>
      <c r="H27" s="918"/>
      <c r="I27" s="914" t="s">
        <v>1449</v>
      </c>
      <c r="J27" s="914"/>
      <c r="K27" s="389"/>
    </row>
    <row r="28" spans="2:11" ht="44.25" customHeight="1">
      <c r="B28" s="386" t="s">
        <v>1450</v>
      </c>
      <c r="C28" s="922" t="s">
        <v>1605</v>
      </c>
      <c r="D28" s="922"/>
      <c r="E28" s="922"/>
      <c r="F28" s="922"/>
      <c r="G28" s="922"/>
      <c r="H28" s="922"/>
      <c r="I28" s="914" t="s">
        <v>1451</v>
      </c>
      <c r="J28" s="914"/>
      <c r="K28" s="390"/>
    </row>
    <row r="29" spans="2:11">
      <c r="B29" s="386" t="s">
        <v>1452</v>
      </c>
      <c r="C29" s="914" t="s">
        <v>1222</v>
      </c>
      <c r="D29" s="914"/>
      <c r="E29" s="914"/>
      <c r="F29" s="914"/>
      <c r="G29" s="914"/>
      <c r="H29" s="915"/>
      <c r="I29" s="914"/>
      <c r="J29" s="914"/>
      <c r="K29" s="390"/>
    </row>
    <row r="30" spans="2:11">
      <c r="B30" s="386" t="s">
        <v>1531</v>
      </c>
      <c r="C30" s="914" t="s">
        <v>1606</v>
      </c>
      <c r="D30" s="914"/>
      <c r="E30" s="914"/>
      <c r="F30" s="914"/>
      <c r="G30" s="914"/>
      <c r="H30" s="915"/>
      <c r="I30" s="914"/>
      <c r="J30" s="914"/>
      <c r="K30" s="388"/>
    </row>
    <row r="32" spans="2:11">
      <c r="B32" s="923" t="s">
        <v>202</v>
      </c>
      <c r="C32" s="923"/>
      <c r="D32" s="923"/>
      <c r="E32" s="923"/>
      <c r="F32" s="923"/>
      <c r="G32" s="923"/>
      <c r="H32" s="923"/>
      <c r="I32" s="923"/>
      <c r="J32" s="923"/>
      <c r="K32" s="923"/>
    </row>
    <row r="33" spans="2:22">
      <c r="B33" s="391"/>
      <c r="C33" s="392"/>
      <c r="D33" s="391"/>
      <c r="E33" s="391"/>
      <c r="F33" s="391"/>
      <c r="G33" s="391"/>
      <c r="H33" s="391"/>
      <c r="I33" s="391"/>
      <c r="J33" s="391"/>
      <c r="K33" s="391"/>
    </row>
    <row r="34" spans="2:22">
      <c r="B34" s="924" t="s">
        <v>1453</v>
      </c>
      <c r="C34" s="906" t="s">
        <v>1454</v>
      </c>
      <c r="D34" s="906" t="s">
        <v>1315</v>
      </c>
      <c r="E34" s="906" t="s">
        <v>1526</v>
      </c>
      <c r="F34" s="906" t="s">
        <v>1455</v>
      </c>
      <c r="G34" s="906" t="s">
        <v>1456</v>
      </c>
      <c r="H34" s="906" t="s">
        <v>1527</v>
      </c>
      <c r="I34" s="906"/>
      <c r="J34" s="906"/>
      <c r="K34" s="906"/>
      <c r="L34" s="605"/>
    </row>
    <row r="35" spans="2:22" ht="107.25" customHeight="1">
      <c r="B35" s="924"/>
      <c r="C35" s="906"/>
      <c r="D35" s="906"/>
      <c r="E35" s="906"/>
      <c r="F35" s="906"/>
      <c r="G35" s="906"/>
      <c r="H35" s="393" t="s">
        <v>1457</v>
      </c>
      <c r="I35" s="393" t="s">
        <v>1458</v>
      </c>
      <c r="J35" s="393" t="s">
        <v>1459</v>
      </c>
      <c r="K35" s="393" t="s">
        <v>1460</v>
      </c>
      <c r="L35" s="605"/>
    </row>
    <row r="36" spans="2:22" ht="21.75" customHeight="1">
      <c r="B36" s="384">
        <v>1</v>
      </c>
      <c r="C36" s="389">
        <v>2</v>
      </c>
      <c r="D36" s="389"/>
      <c r="E36" s="389">
        <v>3</v>
      </c>
      <c r="F36" s="389"/>
      <c r="G36" s="389">
        <v>3</v>
      </c>
      <c r="H36" s="389">
        <v>4</v>
      </c>
      <c r="I36" s="389">
        <v>5</v>
      </c>
      <c r="J36" s="389">
        <v>6</v>
      </c>
      <c r="K36" s="389">
        <v>7</v>
      </c>
      <c r="L36" s="605"/>
      <c r="N36" s="2">
        <v>3</v>
      </c>
      <c r="O36" s="2">
        <v>4</v>
      </c>
      <c r="P36" s="2">
        <v>5</v>
      </c>
      <c r="Q36" s="2">
        <v>6</v>
      </c>
      <c r="R36" s="2">
        <v>7</v>
      </c>
    </row>
    <row r="37" spans="2:22" ht="21.75" customHeight="1">
      <c r="B37" s="912" t="s">
        <v>1528</v>
      </c>
      <c r="C37" s="912"/>
      <c r="D37" s="912"/>
      <c r="E37" s="912"/>
      <c r="F37" s="912"/>
      <c r="G37" s="912"/>
      <c r="H37" s="912"/>
      <c r="I37" s="912"/>
      <c r="J37" s="912"/>
      <c r="K37" s="912"/>
      <c r="L37" s="605"/>
    </row>
    <row r="38" spans="2:22" s="3" customFormat="1" ht="21.75" customHeight="1">
      <c r="B38" s="912" t="s">
        <v>1461</v>
      </c>
      <c r="C38" s="912"/>
      <c r="D38" s="912"/>
      <c r="E38" s="912"/>
      <c r="F38" s="912"/>
      <c r="G38" s="912"/>
      <c r="H38" s="912"/>
      <c r="I38" s="912"/>
      <c r="J38" s="912"/>
      <c r="K38" s="912"/>
      <c r="L38" s="606"/>
    </row>
    <row r="39" spans="2:22" s="3" customFormat="1" ht="30.75" customHeight="1">
      <c r="B39" s="656" t="s">
        <v>1462</v>
      </c>
      <c r="C39" s="394">
        <v>1010</v>
      </c>
      <c r="D39" s="395"/>
      <c r="E39" s="881">
        <v>59819534</v>
      </c>
      <c r="F39" s="396">
        <f>E39</f>
        <v>59819534</v>
      </c>
      <c r="G39" s="397">
        <f>H39+I39+J39+K39</f>
        <v>59702336.809999995</v>
      </c>
      <c r="H39" s="397">
        <f ca="1">Доходи!D4+Доходи!D30+Доходи!D31</f>
        <v>14925584.199999999</v>
      </c>
      <c r="I39" s="397">
        <f ca="1">Доходи!E4+Доходи!E30+Доходи!E31</f>
        <v>14925584.203333331</v>
      </c>
      <c r="J39" s="397">
        <f ca="1">Доходи!F4+Доходи!F30+Доходи!F31</f>
        <v>14925584.203333331</v>
      </c>
      <c r="K39" s="397">
        <f ca="1">Доходи!G4+Доходи!G30+Доходи!G31</f>
        <v>14925584.203333331</v>
      </c>
      <c r="L39" s="607">
        <f t="shared" ref="L39:L70" si="0">G39-M39</f>
        <v>3800297.9799999967</v>
      </c>
      <c r="M39" s="365">
        <v>55902038.829999998</v>
      </c>
      <c r="N39" s="365">
        <v>55902038.829999998</v>
      </c>
      <c r="O39" s="365">
        <v>14142180.530000001</v>
      </c>
      <c r="P39" s="365">
        <v>14248228.220000001</v>
      </c>
      <c r="Q39" s="365">
        <v>13995171.02</v>
      </c>
      <c r="R39" s="365">
        <v>13516459.060000001</v>
      </c>
      <c r="T39" s="365">
        <f t="shared" ref="T39:T70" si="1">H39-O39</f>
        <v>783403.66999999806</v>
      </c>
    </row>
    <row r="40" spans="2:22" s="3" customFormat="1" ht="21.75" customHeight="1">
      <c r="B40" s="656" t="s">
        <v>1388</v>
      </c>
      <c r="C40" s="394">
        <v>1020</v>
      </c>
      <c r="D40" s="398">
        <f>SUM(D41:D43)</f>
        <v>0</v>
      </c>
      <c r="E40" s="396">
        <v>5296153</v>
      </c>
      <c r="F40" s="396">
        <f t="shared" ref="F40:F53" si="2">E40</f>
        <v>5296153</v>
      </c>
      <c r="G40" s="397">
        <f>H40+I40+J40+K40-1</f>
        <v>6344932.3486660104</v>
      </c>
      <c r="H40" s="397">
        <f ca="1">SUM(H41:H43)</f>
        <v>2494056.1683050808</v>
      </c>
      <c r="I40" s="397">
        <f ca="1">SUM(I41:I43)</f>
        <v>941445.3638633925</v>
      </c>
      <c r="J40" s="397">
        <f ca="1">SUM(J41:J43)</f>
        <v>747955.45292928687</v>
      </c>
      <c r="K40" s="397">
        <f ca="1">SUM(K41:K43)</f>
        <v>2161476.3635682506</v>
      </c>
      <c r="L40" s="607">
        <f t="shared" si="0"/>
        <v>755593.7747702077</v>
      </c>
      <c r="M40" s="365">
        <v>5589338.5738958027</v>
      </c>
      <c r="N40" s="365">
        <v>5589338.5738958027</v>
      </c>
      <c r="O40" s="365">
        <v>2272670.4741830165</v>
      </c>
      <c r="P40" s="365">
        <v>775787.69058346737</v>
      </c>
      <c r="Q40" s="365">
        <v>478008.10506355757</v>
      </c>
      <c r="R40" s="365">
        <v>2062872.3040657612</v>
      </c>
      <c r="T40" s="365">
        <f t="shared" si="1"/>
        <v>221385.69412206439</v>
      </c>
    </row>
    <row r="41" spans="2:22" ht="21.75" customHeight="1">
      <c r="B41" s="658" t="s">
        <v>81</v>
      </c>
      <c r="C41" s="400">
        <v>1021</v>
      </c>
      <c r="D41" s="401"/>
      <c r="E41" s="402">
        <v>5296153</v>
      </c>
      <c r="F41" s="402">
        <f t="shared" si="2"/>
        <v>5296153</v>
      </c>
      <c r="G41" s="670">
        <f>H41+I41+J41+K41-1</f>
        <v>6344932.3486660104</v>
      </c>
      <c r="H41" s="408">
        <f ca="1">Доходи!D27</f>
        <v>2494056.1683050808</v>
      </c>
      <c r="I41" s="408">
        <f ca="1">Доходи!E27</f>
        <v>941445.3638633925</v>
      </c>
      <c r="J41" s="408">
        <f ca="1">Доходи!F27</f>
        <v>747955.45292928687</v>
      </c>
      <c r="K41" s="408">
        <f ca="1">Доходи!G27</f>
        <v>2161476.3635682506</v>
      </c>
      <c r="L41" s="607">
        <f t="shared" si="0"/>
        <v>755593.7747702077</v>
      </c>
      <c r="M41" s="374">
        <v>5589338.5738958027</v>
      </c>
      <c r="N41" s="374">
        <v>5589338.5738958027</v>
      </c>
      <c r="O41" s="374">
        <v>2272670.4741830165</v>
      </c>
      <c r="P41" s="374">
        <v>775787.69058346737</v>
      </c>
      <c r="Q41" s="374">
        <v>478008.10506355757</v>
      </c>
      <c r="R41" s="374">
        <v>2062872.3040657612</v>
      </c>
      <c r="T41" s="365">
        <f t="shared" si="1"/>
        <v>221385.69412206439</v>
      </c>
      <c r="V41" s="3"/>
    </row>
    <row r="42" spans="2:22" s="3" customFormat="1" ht="22.5" customHeight="1">
      <c r="B42" s="661" t="s">
        <v>1471</v>
      </c>
      <c r="C42" s="400">
        <v>1022</v>
      </c>
      <c r="D42" s="401"/>
      <c r="E42" s="402">
        <v>0</v>
      </c>
      <c r="F42" s="402">
        <f t="shared" si="2"/>
        <v>0</v>
      </c>
      <c r="G42" s="403">
        <f t="shared" ref="G42:G50" si="3">H42+I42+J42+K42</f>
        <v>0</v>
      </c>
      <c r="H42" s="403">
        <f ca="1">Доходи!D28</f>
        <v>0</v>
      </c>
      <c r="I42" s="403">
        <f ca="1">Доходи!E28</f>
        <v>0</v>
      </c>
      <c r="J42" s="403">
        <f ca="1">Доходи!F28</f>
        <v>0</v>
      </c>
      <c r="K42" s="403">
        <f ca="1">Доходи!G28</f>
        <v>0</v>
      </c>
      <c r="L42" s="607">
        <f t="shared" si="0"/>
        <v>0</v>
      </c>
      <c r="M42" s="365">
        <v>0</v>
      </c>
      <c r="N42" s="365">
        <v>0</v>
      </c>
      <c r="O42" s="365">
        <v>0</v>
      </c>
      <c r="P42" s="365">
        <v>0</v>
      </c>
      <c r="Q42" s="365">
        <v>0</v>
      </c>
      <c r="R42" s="365">
        <v>0</v>
      </c>
      <c r="T42" s="365">
        <f t="shared" si="1"/>
        <v>0</v>
      </c>
    </row>
    <row r="43" spans="2:22" s="3" customFormat="1" ht="21.75" customHeight="1">
      <c r="B43" s="609" t="s">
        <v>78</v>
      </c>
      <c r="C43" s="400">
        <v>1023</v>
      </c>
      <c r="D43" s="401"/>
      <c r="E43" s="402">
        <v>0</v>
      </c>
      <c r="F43" s="402">
        <f t="shared" si="2"/>
        <v>0</v>
      </c>
      <c r="G43" s="403">
        <f>H43+I43+J43+K43</f>
        <v>0</v>
      </c>
      <c r="H43" s="403">
        <f ca="1">Доходи!D29</f>
        <v>0</v>
      </c>
      <c r="I43" s="403">
        <f ca="1">Доходи!E29</f>
        <v>0</v>
      </c>
      <c r="J43" s="403">
        <f ca="1">Доходи!F29</f>
        <v>0</v>
      </c>
      <c r="K43" s="403">
        <f ca="1">Доходи!G29</f>
        <v>0</v>
      </c>
      <c r="L43" s="607">
        <f t="shared" si="0"/>
        <v>0</v>
      </c>
      <c r="M43" s="365">
        <v>0</v>
      </c>
      <c r="N43" s="365">
        <v>0</v>
      </c>
      <c r="O43" s="365">
        <v>0</v>
      </c>
      <c r="P43" s="365">
        <v>0</v>
      </c>
      <c r="Q43" s="365">
        <v>0</v>
      </c>
      <c r="R43" s="365">
        <v>0</v>
      </c>
      <c r="T43" s="365">
        <f t="shared" si="1"/>
        <v>0</v>
      </c>
    </row>
    <row r="44" spans="2:22" s="3" customFormat="1" ht="21.75" customHeight="1">
      <c r="B44" s="656" t="s">
        <v>1555</v>
      </c>
      <c r="C44" s="394">
        <v>1030</v>
      </c>
      <c r="D44" s="398">
        <f>SUM(D45:D47)</f>
        <v>0</v>
      </c>
      <c r="E44" s="396">
        <v>1116154</v>
      </c>
      <c r="F44" s="396">
        <f t="shared" si="2"/>
        <v>1116154</v>
      </c>
      <c r="G44" s="397">
        <f>H44+I44+J44+K44</f>
        <v>1318972.7277463742</v>
      </c>
      <c r="H44" s="397">
        <f ca="1">SUM(H45:H47)+Доходи!D35</f>
        <v>504209.44308407727</v>
      </c>
      <c r="I44" s="397">
        <f ca="1">SUM(I45:I47)+Доходи!E35</f>
        <v>218643.07365549571</v>
      </c>
      <c r="J44" s="397">
        <f ca="1">SUM(J45:J47)+Доходи!F35</f>
        <v>182563.50028194732</v>
      </c>
      <c r="K44" s="397">
        <f ca="1">SUM(K45:K47)+Доходи!G35</f>
        <v>413556.71072485385</v>
      </c>
      <c r="L44" s="607">
        <f t="shared" si="0"/>
        <v>460972.72774637421</v>
      </c>
      <c r="M44" s="365">
        <v>858000</v>
      </c>
      <c r="N44" s="365">
        <v>858000</v>
      </c>
      <c r="O44" s="365">
        <v>214500</v>
      </c>
      <c r="P44" s="365">
        <v>214500</v>
      </c>
      <c r="Q44" s="365">
        <v>214500</v>
      </c>
      <c r="R44" s="365">
        <v>214500</v>
      </c>
      <c r="T44" s="365">
        <f t="shared" si="1"/>
        <v>289709.44308407727</v>
      </c>
    </row>
    <row r="45" spans="2:22" s="3" customFormat="1" ht="21.75" customHeight="1">
      <c r="B45" s="399" t="s">
        <v>1463</v>
      </c>
      <c r="C45" s="404">
        <v>1031</v>
      </c>
      <c r="D45" s="401"/>
      <c r="E45" s="402">
        <v>1104154</v>
      </c>
      <c r="F45" s="402">
        <f t="shared" si="2"/>
        <v>1104154</v>
      </c>
      <c r="G45" s="403">
        <f t="shared" si="3"/>
        <v>1306972.7277463742</v>
      </c>
      <c r="H45" s="403">
        <f ca="1">Доходи!D32</f>
        <v>501209.44308407727</v>
      </c>
      <c r="I45" s="403">
        <f ca="1">Доходи!E32</f>
        <v>215643.07365549571</v>
      </c>
      <c r="J45" s="403">
        <f ca="1">Доходи!F32</f>
        <v>179563.50028194732</v>
      </c>
      <c r="K45" s="403">
        <f ca="1">Доходи!G32</f>
        <v>410556.71072485385</v>
      </c>
      <c r="L45" s="607">
        <f t="shared" si="0"/>
        <v>460972.72774637421</v>
      </c>
      <c r="M45" s="365">
        <v>846000</v>
      </c>
      <c r="N45" s="365">
        <v>846000</v>
      </c>
      <c r="O45" s="365">
        <v>211500</v>
      </c>
      <c r="P45" s="365">
        <v>211500</v>
      </c>
      <c r="Q45" s="365">
        <v>211500</v>
      </c>
      <c r="R45" s="365">
        <v>211500</v>
      </c>
      <c r="T45" s="365">
        <f t="shared" si="1"/>
        <v>289709.44308407727</v>
      </c>
    </row>
    <row r="46" spans="2:22" s="3" customFormat="1" ht="21.75" customHeight="1">
      <c r="B46" s="399" t="s">
        <v>1545</v>
      </c>
      <c r="C46" s="404">
        <v>1032</v>
      </c>
      <c r="D46" s="401"/>
      <c r="E46" s="402">
        <v>12000</v>
      </c>
      <c r="F46" s="402">
        <f t="shared" si="2"/>
        <v>12000</v>
      </c>
      <c r="G46" s="403">
        <f t="shared" si="3"/>
        <v>12000</v>
      </c>
      <c r="H46" s="403">
        <f ca="1">Доходи!D34</f>
        <v>3000</v>
      </c>
      <c r="I46" s="403">
        <f ca="1">Доходи!E34</f>
        <v>3000</v>
      </c>
      <c r="J46" s="403">
        <f ca="1">Доходи!F34</f>
        <v>3000</v>
      </c>
      <c r="K46" s="403">
        <f ca="1">Доходи!G34</f>
        <v>3000</v>
      </c>
      <c r="L46" s="607">
        <f t="shared" si="0"/>
        <v>0</v>
      </c>
      <c r="M46" s="365">
        <v>12000</v>
      </c>
      <c r="N46" s="365">
        <v>12000</v>
      </c>
      <c r="O46" s="365">
        <v>3000</v>
      </c>
      <c r="P46" s="365">
        <v>3000</v>
      </c>
      <c r="Q46" s="365">
        <v>3000</v>
      </c>
      <c r="R46" s="365">
        <v>3000</v>
      </c>
      <c r="T46" s="365">
        <f t="shared" si="1"/>
        <v>0</v>
      </c>
    </row>
    <row r="47" spans="2:22" s="373" customFormat="1" ht="21.75" customHeight="1">
      <c r="B47" s="405" t="s">
        <v>1225</v>
      </c>
      <c r="C47" s="406">
        <v>1033</v>
      </c>
      <c r="D47" s="407"/>
      <c r="E47" s="408">
        <v>0</v>
      </c>
      <c r="F47" s="408">
        <f t="shared" si="2"/>
        <v>0</v>
      </c>
      <c r="G47" s="408">
        <f t="shared" si="3"/>
        <v>0</v>
      </c>
      <c r="H47" s="408">
        <f ca="1">Доходи!D36</f>
        <v>0</v>
      </c>
      <c r="I47" s="408">
        <f ca="1">Доходи!E36</f>
        <v>0</v>
      </c>
      <c r="J47" s="408">
        <f ca="1">Доходи!F36</f>
        <v>0</v>
      </c>
      <c r="K47" s="408">
        <f ca="1">Доходи!G36</f>
        <v>0</v>
      </c>
      <c r="L47" s="607">
        <f t="shared" si="0"/>
        <v>0</v>
      </c>
      <c r="M47" s="602">
        <v>0</v>
      </c>
      <c r="N47" s="602">
        <v>0</v>
      </c>
      <c r="O47" s="602">
        <v>0</v>
      </c>
      <c r="P47" s="602">
        <v>0</v>
      </c>
      <c r="Q47" s="602">
        <v>0</v>
      </c>
      <c r="R47" s="602">
        <v>0</v>
      </c>
      <c r="T47" s="365">
        <f t="shared" si="1"/>
        <v>0</v>
      </c>
      <c r="V47" s="3"/>
    </row>
    <row r="48" spans="2:22" s="373" customFormat="1" ht="21.75" customHeight="1">
      <c r="B48" s="409" t="s">
        <v>1544</v>
      </c>
      <c r="C48" s="410">
        <v>1040</v>
      </c>
      <c r="D48" s="411">
        <f>D50+D49</f>
        <v>0</v>
      </c>
      <c r="E48" s="412">
        <v>1200</v>
      </c>
      <c r="F48" s="412">
        <f t="shared" si="2"/>
        <v>1200</v>
      </c>
      <c r="G48" s="412">
        <f t="shared" si="3"/>
        <v>4800</v>
      </c>
      <c r="H48" s="412">
        <f ca="1">H50+H49</f>
        <v>1200</v>
      </c>
      <c r="I48" s="412">
        <f ca="1">I50+I49</f>
        <v>1200</v>
      </c>
      <c r="J48" s="412">
        <f ca="1">J50+J49</f>
        <v>1200</v>
      </c>
      <c r="K48" s="412">
        <f ca="1">K50+K49</f>
        <v>1200</v>
      </c>
      <c r="L48" s="607">
        <f t="shared" si="0"/>
        <v>3600</v>
      </c>
      <c r="M48" s="602">
        <v>1200</v>
      </c>
      <c r="N48" s="602">
        <v>1200</v>
      </c>
      <c r="O48" s="602">
        <v>300</v>
      </c>
      <c r="P48" s="602">
        <v>300</v>
      </c>
      <c r="Q48" s="602">
        <v>300</v>
      </c>
      <c r="R48" s="602">
        <v>300</v>
      </c>
      <c r="T48" s="365">
        <f t="shared" si="1"/>
        <v>900</v>
      </c>
      <c r="V48" s="3"/>
    </row>
    <row r="49" spans="2:22" s="373" customFormat="1" ht="21.75" customHeight="1">
      <c r="B49" s="405" t="s">
        <v>1546</v>
      </c>
      <c r="C49" s="406">
        <v>1041</v>
      </c>
      <c r="D49" s="407"/>
      <c r="E49" s="408">
        <v>1200</v>
      </c>
      <c r="F49" s="408">
        <f t="shared" si="2"/>
        <v>1200</v>
      </c>
      <c r="G49" s="408">
        <f t="shared" si="3"/>
        <v>4800</v>
      </c>
      <c r="H49" s="408">
        <f ca="1">Доходи!D33</f>
        <v>1200</v>
      </c>
      <c r="I49" s="408">
        <f ca="1">Доходи!E33</f>
        <v>1200</v>
      </c>
      <c r="J49" s="408">
        <f ca="1">Доходи!F33</f>
        <v>1200</v>
      </c>
      <c r="K49" s="408">
        <f ca="1">Доходи!G33</f>
        <v>1200</v>
      </c>
      <c r="L49" s="607">
        <f t="shared" si="0"/>
        <v>3600</v>
      </c>
      <c r="M49" s="602">
        <v>1200</v>
      </c>
      <c r="N49" s="602">
        <v>1200</v>
      </c>
      <c r="O49" s="602">
        <v>300</v>
      </c>
      <c r="P49" s="602">
        <v>300</v>
      </c>
      <c r="Q49" s="602">
        <v>300</v>
      </c>
      <c r="R49" s="602">
        <v>300</v>
      </c>
      <c r="T49" s="365">
        <f t="shared" si="1"/>
        <v>900</v>
      </c>
      <c r="V49" s="3"/>
    </row>
    <row r="50" spans="2:22" s="373" customFormat="1" ht="21.75" customHeight="1">
      <c r="B50" s="405" t="s">
        <v>1226</v>
      </c>
      <c r="C50" s="406">
        <v>1042</v>
      </c>
      <c r="D50" s="407"/>
      <c r="E50" s="408">
        <v>0</v>
      </c>
      <c r="F50" s="408">
        <f t="shared" si="2"/>
        <v>0</v>
      </c>
      <c r="G50" s="408">
        <f t="shared" si="3"/>
        <v>0</v>
      </c>
      <c r="H50" s="408">
        <f ca="1">Доходи!D37</f>
        <v>0</v>
      </c>
      <c r="I50" s="408">
        <f ca="1">Доходи!E37</f>
        <v>0</v>
      </c>
      <c r="J50" s="408">
        <f ca="1">Доходи!F37</f>
        <v>0</v>
      </c>
      <c r="K50" s="408">
        <f ca="1">Доходи!G37</f>
        <v>0</v>
      </c>
      <c r="L50" s="607">
        <f t="shared" si="0"/>
        <v>0</v>
      </c>
      <c r="M50" s="602">
        <v>0</v>
      </c>
      <c r="N50" s="602">
        <v>0</v>
      </c>
      <c r="O50" s="602">
        <v>0</v>
      </c>
      <c r="P50" s="602">
        <v>0</v>
      </c>
      <c r="Q50" s="602">
        <v>0</v>
      </c>
      <c r="R50" s="602">
        <v>0</v>
      </c>
      <c r="T50" s="365">
        <f t="shared" si="1"/>
        <v>0</v>
      </c>
      <c r="V50" s="3"/>
    </row>
    <row r="51" spans="2:22" ht="21.75" customHeight="1">
      <c r="B51" s="920" t="s">
        <v>1464</v>
      </c>
      <c r="C51" s="920"/>
      <c r="D51" s="920"/>
      <c r="E51" s="920"/>
      <c r="F51" s="920"/>
      <c r="G51" s="920"/>
      <c r="H51" s="920"/>
      <c r="I51" s="920"/>
      <c r="J51" s="920"/>
      <c r="K51" s="920"/>
      <c r="L51" s="607">
        <f t="shared" si="0"/>
        <v>0</v>
      </c>
      <c r="M51" s="374"/>
      <c r="N51" s="374"/>
      <c r="O51" s="374"/>
      <c r="P51" s="374"/>
      <c r="Q51" s="374"/>
      <c r="R51" s="374"/>
      <c r="T51" s="365">
        <f t="shared" si="1"/>
        <v>0</v>
      </c>
      <c r="V51" s="3"/>
    </row>
    <row r="52" spans="2:22" s="3" customFormat="1" ht="21.75" customHeight="1">
      <c r="B52" s="656" t="s">
        <v>1465</v>
      </c>
      <c r="C52" s="657">
        <v>1050</v>
      </c>
      <c r="D52" s="396"/>
      <c r="E52" s="396">
        <v>34573429</v>
      </c>
      <c r="F52" s="396">
        <f t="shared" si="2"/>
        <v>34573429</v>
      </c>
      <c r="G52" s="397">
        <f ca="1">ФОП!S30-ФОП!S7-ФОП!S12</f>
        <v>36893889.600000001</v>
      </c>
      <c r="H52" s="397">
        <f ca="1">ФОП!O40</f>
        <v>9228851.4000000004</v>
      </c>
      <c r="I52" s="397">
        <f ca="1">ФОП!P40</f>
        <v>9219886.4000000004</v>
      </c>
      <c r="J52" s="397">
        <f ca="1">ФОП!Q40</f>
        <v>9218093.4000000004</v>
      </c>
      <c r="K52" s="397">
        <f ca="1">ФОП!R40</f>
        <v>9227058.4000000004</v>
      </c>
      <c r="L52" s="607">
        <f t="shared" si="0"/>
        <v>3181522.407471545</v>
      </c>
      <c r="M52" s="365">
        <v>33712367.192528456</v>
      </c>
      <c r="N52" s="365">
        <v>33712367.192528456</v>
      </c>
      <c r="O52" s="365">
        <v>8534063.5302729104</v>
      </c>
      <c r="P52" s="365">
        <v>8339347.4087636806</v>
      </c>
      <c r="Q52" s="365">
        <v>8312693.2685622517</v>
      </c>
      <c r="R52" s="365">
        <v>8526262.9849296156</v>
      </c>
      <c r="T52" s="365">
        <f t="shared" si="1"/>
        <v>694787.86972709</v>
      </c>
    </row>
    <row r="53" spans="2:22" s="3" customFormat="1" ht="21.75" customHeight="1">
      <c r="B53" s="656" t="s">
        <v>1466</v>
      </c>
      <c r="C53" s="657">
        <v>1060</v>
      </c>
      <c r="D53" s="396"/>
      <c r="E53" s="396">
        <v>7606154</v>
      </c>
      <c r="F53" s="396">
        <f t="shared" si="2"/>
        <v>7606154</v>
      </c>
      <c r="G53" s="397">
        <f ca="1">H53+I53+J53+K53</f>
        <v>8116655.7120000022</v>
      </c>
      <c r="H53" s="397">
        <f ca="1">ФОП!O31-H56</f>
        <v>2030347.3080000004</v>
      </c>
      <c r="I53" s="397">
        <f ca="1">ФОП!P31-I56</f>
        <v>2028375.0080000006</v>
      </c>
      <c r="J53" s="397">
        <f ca="1">ФОП!Q31-J56</f>
        <v>2027980.5480000007</v>
      </c>
      <c r="K53" s="397">
        <f ca="1">ФОП!R31-K56</f>
        <v>2029952.8480000005</v>
      </c>
      <c r="L53" s="607">
        <f t="shared" si="0"/>
        <v>868496.76560638379</v>
      </c>
      <c r="M53" s="365">
        <v>7248158.9463936184</v>
      </c>
      <c r="N53" s="365">
        <v>7248158.9463936184</v>
      </c>
      <c r="O53" s="365">
        <v>1834823.659008676</v>
      </c>
      <c r="P53" s="365">
        <v>1792959.6928841914</v>
      </c>
      <c r="Q53" s="365">
        <v>1787229.0527408845</v>
      </c>
      <c r="R53" s="365">
        <v>1833146.5417598672</v>
      </c>
      <c r="T53" s="365">
        <f t="shared" si="1"/>
        <v>195523.64899132447</v>
      </c>
    </row>
    <row r="54" spans="2:22" s="3" customFormat="1" ht="21.75" customHeight="1">
      <c r="B54" s="413" t="s">
        <v>1350</v>
      </c>
      <c r="C54" s="657">
        <v>1070</v>
      </c>
      <c r="D54" s="919"/>
      <c r="E54" s="919"/>
      <c r="F54" s="919"/>
      <c r="G54" s="919"/>
      <c r="H54" s="919"/>
      <c r="I54" s="919"/>
      <c r="J54" s="919"/>
      <c r="K54" s="919"/>
      <c r="L54" s="607">
        <f t="shared" si="0"/>
        <v>0</v>
      </c>
      <c r="M54" s="365"/>
      <c r="N54" s="365"/>
      <c r="O54" s="365"/>
      <c r="P54" s="365"/>
      <c r="Q54" s="365"/>
      <c r="R54" s="365"/>
      <c r="T54" s="365">
        <f t="shared" si="1"/>
        <v>0</v>
      </c>
    </row>
    <row r="55" spans="2:22" s="3" customFormat="1" ht="21.75" customHeight="1">
      <c r="B55" s="414" t="s">
        <v>1362</v>
      </c>
      <c r="C55" s="657">
        <v>1071</v>
      </c>
      <c r="D55" s="396"/>
      <c r="E55" s="396">
        <v>3410745</v>
      </c>
      <c r="F55" s="396">
        <f t="shared" ref="F55:F61" si="4">E55</f>
        <v>3410745</v>
      </c>
      <c r="G55" s="397">
        <f ca="1">G135+G139</f>
        <v>3321994.1634</v>
      </c>
      <c r="H55" s="397">
        <f ca="1">H135+H139</f>
        <v>830498.54084999999</v>
      </c>
      <c r="I55" s="397">
        <f ca="1">I135+I139</f>
        <v>830498.54084999999</v>
      </c>
      <c r="J55" s="397">
        <f ca="1">J135+J139</f>
        <v>830498.54084999999</v>
      </c>
      <c r="K55" s="397">
        <f ca="1">K135+K139</f>
        <v>830498.54084999999</v>
      </c>
      <c r="L55" s="607">
        <f t="shared" si="0"/>
        <v>-99555.310892499983</v>
      </c>
      <c r="M55" s="365">
        <v>3421549.4742924999</v>
      </c>
      <c r="N55" s="365">
        <v>3421549.4742924999</v>
      </c>
      <c r="O55" s="365">
        <v>855387.36857312499</v>
      </c>
      <c r="P55" s="365">
        <v>855387.36857312499</v>
      </c>
      <c r="Q55" s="365">
        <v>855387.36857312499</v>
      </c>
      <c r="R55" s="365">
        <v>855387.36857312499</v>
      </c>
      <c r="T55" s="365">
        <f t="shared" si="1"/>
        <v>-24888.827723124996</v>
      </c>
    </row>
    <row r="56" spans="2:22" s="3" customFormat="1" ht="21.75" customHeight="1">
      <c r="B56" s="414" t="s">
        <v>1363</v>
      </c>
      <c r="C56" s="657">
        <v>1072</v>
      </c>
      <c r="D56" s="396"/>
      <c r="E56" s="396">
        <v>750364</v>
      </c>
      <c r="F56" s="396">
        <f t="shared" si="4"/>
        <v>750364</v>
      </c>
      <c r="G56" s="397">
        <f ca="1">ФОП!S37</f>
        <v>730838.71594799997</v>
      </c>
      <c r="H56" s="397">
        <f ca="1">ФОП!O37</f>
        <v>182709.67898699999</v>
      </c>
      <c r="I56" s="397">
        <f ca="1">ФОП!P37</f>
        <v>182709.67898699999</v>
      </c>
      <c r="J56" s="397">
        <f ca="1">ФОП!Q37</f>
        <v>182709.67898699999</v>
      </c>
      <c r="K56" s="397">
        <f ca="1">ФОП!R37</f>
        <v>182709.67898699999</v>
      </c>
      <c r="L56" s="607">
        <f t="shared" si="0"/>
        <v>-4794.4210248874733</v>
      </c>
      <c r="M56" s="365">
        <v>735633.13697288744</v>
      </c>
      <c r="N56" s="365">
        <v>735633.13697288744</v>
      </c>
      <c r="O56" s="365">
        <v>183908.28424322186</v>
      </c>
      <c r="P56" s="365">
        <v>183908.28424322186</v>
      </c>
      <c r="Q56" s="365">
        <v>183908.28424322186</v>
      </c>
      <c r="R56" s="365">
        <v>183908.28424322186</v>
      </c>
      <c r="T56" s="365">
        <f t="shared" si="1"/>
        <v>-1198.6052562218683</v>
      </c>
    </row>
    <row r="57" spans="2:22" s="364" customFormat="1" ht="21.75" customHeight="1">
      <c r="B57" s="405" t="s">
        <v>1609</v>
      </c>
      <c r="C57" s="406">
        <v>1073</v>
      </c>
      <c r="D57" s="408"/>
      <c r="E57" s="408">
        <v>60000</v>
      </c>
      <c r="F57" s="408">
        <f t="shared" si="4"/>
        <v>60000</v>
      </c>
      <c r="G57" s="408">
        <f>H57+I57+J57+K57</f>
        <v>60000</v>
      </c>
      <c r="H57" s="408">
        <f ca="1">Видатки!C17</f>
        <v>15000</v>
      </c>
      <c r="I57" s="408">
        <f ca="1">Видатки!D17</f>
        <v>15000</v>
      </c>
      <c r="J57" s="408">
        <f ca="1">Видатки!E17</f>
        <v>15000</v>
      </c>
      <c r="K57" s="408">
        <f ca="1">Видатки!F17</f>
        <v>15000</v>
      </c>
      <c r="L57" s="607">
        <f t="shared" si="0"/>
        <v>0</v>
      </c>
      <c r="M57" s="603">
        <v>60000</v>
      </c>
      <c r="N57" s="603">
        <v>60000</v>
      </c>
      <c r="O57" s="603">
        <v>15000</v>
      </c>
      <c r="P57" s="603">
        <v>15000</v>
      </c>
      <c r="Q57" s="603">
        <v>15000</v>
      </c>
      <c r="R57" s="603">
        <v>15000</v>
      </c>
      <c r="T57" s="365">
        <f t="shared" si="1"/>
        <v>0</v>
      </c>
      <c r="V57" s="3"/>
    </row>
    <row r="58" spans="2:22" s="373" customFormat="1" ht="21.75" customHeight="1">
      <c r="B58" s="409" t="s">
        <v>1467</v>
      </c>
      <c r="C58" s="410">
        <v>1080</v>
      </c>
      <c r="D58" s="412"/>
      <c r="E58" s="412">
        <v>3761064</v>
      </c>
      <c r="F58" s="412">
        <f t="shared" si="4"/>
        <v>3761064</v>
      </c>
      <c r="G58" s="412">
        <f t="shared" ref="G58:G69" si="5">H58+I58+J58+K58</f>
        <v>4889382.8359999992</v>
      </c>
      <c r="H58" s="412">
        <f ca="1">'2220'!J501/4</f>
        <v>1222345.7089999998</v>
      </c>
      <c r="I58" s="412">
        <f t="shared" ref="I58:K59" si="6">H58</f>
        <v>1222345.7089999998</v>
      </c>
      <c r="J58" s="412">
        <f t="shared" si="6"/>
        <v>1222345.7089999998</v>
      </c>
      <c r="K58" s="412">
        <f t="shared" si="6"/>
        <v>1222345.7089999998</v>
      </c>
      <c r="L58" s="607">
        <f t="shared" si="0"/>
        <v>27377.493699999526</v>
      </c>
      <c r="M58" s="602">
        <v>4862005.3422999997</v>
      </c>
      <c r="N58" s="602">
        <v>4862005.3422999997</v>
      </c>
      <c r="O58" s="602">
        <v>1215501.3355749999</v>
      </c>
      <c r="P58" s="602">
        <v>1215501.3355749999</v>
      </c>
      <c r="Q58" s="602">
        <v>1215501.3355749999</v>
      </c>
      <c r="R58" s="602">
        <v>1215501.3355749999</v>
      </c>
      <c r="T58" s="365">
        <f t="shared" si="1"/>
        <v>6844.3734249998815</v>
      </c>
      <c r="V58" s="3"/>
    </row>
    <row r="59" spans="2:22" s="373" customFormat="1" ht="21.75" customHeight="1">
      <c r="B59" s="409" t="s">
        <v>1468</v>
      </c>
      <c r="C59" s="410">
        <v>1090</v>
      </c>
      <c r="D59" s="412"/>
      <c r="E59" s="412">
        <v>734296</v>
      </c>
      <c r="F59" s="412">
        <f t="shared" si="4"/>
        <v>734296</v>
      </c>
      <c r="G59" s="412">
        <f>H59+I59+J59+K59</f>
        <v>974892.25120000006</v>
      </c>
      <c r="H59" s="412">
        <f ca="1">'2230'!G3+'2230'!G4+'2230'!G5</f>
        <v>243723.06280000001</v>
      </c>
      <c r="I59" s="412">
        <f t="shared" si="6"/>
        <v>243723.06280000001</v>
      </c>
      <c r="J59" s="412">
        <f t="shared" si="6"/>
        <v>243723.06280000001</v>
      </c>
      <c r="K59" s="412">
        <f t="shared" si="6"/>
        <v>243723.06280000001</v>
      </c>
      <c r="L59" s="607">
        <f t="shared" si="0"/>
        <v>-19433.748799999943</v>
      </c>
      <c r="M59" s="602">
        <v>994326</v>
      </c>
      <c r="N59" s="602">
        <v>994326</v>
      </c>
      <c r="O59" s="602">
        <v>248581.5</v>
      </c>
      <c r="P59" s="602">
        <v>248581.5</v>
      </c>
      <c r="Q59" s="602">
        <v>248581.5</v>
      </c>
      <c r="R59" s="602">
        <v>248581.5</v>
      </c>
      <c r="T59" s="365">
        <f t="shared" si="1"/>
        <v>-4858.4371999999858</v>
      </c>
      <c r="V59" s="3"/>
    </row>
    <row r="60" spans="2:22" s="373" customFormat="1" ht="21.75" customHeight="1">
      <c r="B60" s="409" t="s">
        <v>1469</v>
      </c>
      <c r="C60" s="410">
        <v>1100</v>
      </c>
      <c r="D60" s="412"/>
      <c r="E60" s="412">
        <v>748884</v>
      </c>
      <c r="F60" s="412">
        <f t="shared" si="4"/>
        <v>748884</v>
      </c>
      <c r="G60" s="412">
        <f>H60+I60+J60+K60</f>
        <v>748883.89999999991</v>
      </c>
      <c r="H60" s="412">
        <f ca="1">Видатки!C9</f>
        <v>115917.20999999999</v>
      </c>
      <c r="I60" s="412">
        <f ca="1">Видатки!D9</f>
        <v>217358.81000000003</v>
      </c>
      <c r="J60" s="412">
        <f ca="1">Видатки!E9</f>
        <v>210833.44</v>
      </c>
      <c r="K60" s="412">
        <f ca="1">Видатки!F9</f>
        <v>204774.44</v>
      </c>
      <c r="L60" s="607">
        <f t="shared" si="0"/>
        <v>-317609.76</v>
      </c>
      <c r="M60" s="602">
        <v>1066493.6599999999</v>
      </c>
      <c r="N60" s="602">
        <v>1066493.6599999999</v>
      </c>
      <c r="O60" s="602">
        <v>274425.25</v>
      </c>
      <c r="P60" s="602">
        <v>288668.92000000004</v>
      </c>
      <c r="Q60" s="602">
        <v>300319.71999999997</v>
      </c>
      <c r="R60" s="602">
        <v>203079.77</v>
      </c>
      <c r="T60" s="365">
        <f t="shared" si="1"/>
        <v>-158508.04</v>
      </c>
      <c r="V60" s="3"/>
    </row>
    <row r="61" spans="2:22" s="373" customFormat="1" ht="21.75" customHeight="1">
      <c r="B61" s="409" t="s">
        <v>1470</v>
      </c>
      <c r="C61" s="410">
        <v>1110</v>
      </c>
      <c r="D61" s="412"/>
      <c r="E61" s="412">
        <v>10000</v>
      </c>
      <c r="F61" s="412">
        <f t="shared" si="4"/>
        <v>10000</v>
      </c>
      <c r="G61" s="412">
        <f t="shared" si="5"/>
        <v>10000</v>
      </c>
      <c r="H61" s="412">
        <f ca="1">Видатки!C10</f>
        <v>5000</v>
      </c>
      <c r="I61" s="412">
        <f ca="1">Видатки!D10</f>
        <v>5000</v>
      </c>
      <c r="J61" s="412">
        <f ca="1">Видатки!E10</f>
        <v>0</v>
      </c>
      <c r="K61" s="412">
        <f ca="1">Видатки!F10</f>
        <v>0</v>
      </c>
      <c r="L61" s="607">
        <f t="shared" si="0"/>
        <v>0</v>
      </c>
      <c r="M61" s="602">
        <v>10000</v>
      </c>
      <c r="N61" s="602">
        <v>10000</v>
      </c>
      <c r="O61" s="602">
        <v>10000</v>
      </c>
      <c r="P61" s="602">
        <v>0</v>
      </c>
      <c r="Q61" s="602">
        <v>0</v>
      </c>
      <c r="R61" s="602">
        <v>0</v>
      </c>
      <c r="T61" s="365">
        <f t="shared" si="1"/>
        <v>-5000</v>
      </c>
      <c r="V61" s="3"/>
    </row>
    <row r="62" spans="2:22" s="373" customFormat="1" ht="21.75" customHeight="1">
      <c r="B62" s="409" t="s">
        <v>1529</v>
      </c>
      <c r="C62" s="410">
        <v>1120</v>
      </c>
      <c r="D62" s="412">
        <f>SUM(D63:D68)</f>
        <v>0</v>
      </c>
      <c r="E62" s="412">
        <v>5933450</v>
      </c>
      <c r="F62" s="412">
        <f>SUM(F63:F68)</f>
        <v>5933450</v>
      </c>
      <c r="G62" s="412">
        <f>H62+I62+J62+K62</f>
        <v>7105712.426599999</v>
      </c>
      <c r="H62" s="412">
        <f>SUM(H63:H68)</f>
        <v>2795052.5442840001</v>
      </c>
      <c r="I62" s="412">
        <f>SUM(I63:I68)</f>
        <v>1053274.5730919999</v>
      </c>
      <c r="J62" s="412">
        <f>SUM(J63:J68)</f>
        <v>835687.28531999991</v>
      </c>
      <c r="K62" s="412">
        <f>SUM(K63:K68)</f>
        <v>2421698.0239039995</v>
      </c>
      <c r="L62" s="607">
        <f t="shared" si="0"/>
        <v>813391.02659999859</v>
      </c>
      <c r="M62" s="602">
        <v>6292321.4000000004</v>
      </c>
      <c r="N62" s="602">
        <v>6292321.4000000004</v>
      </c>
      <c r="O62" s="602">
        <v>2553795.0802197801</v>
      </c>
      <c r="P62" s="602">
        <v>876362.39670329669</v>
      </c>
      <c r="Q62" s="602">
        <v>542690.6</v>
      </c>
      <c r="R62" s="602">
        <v>2319473.3230769234</v>
      </c>
      <c r="T62" s="365">
        <f t="shared" si="1"/>
        <v>241257.46406421997</v>
      </c>
      <c r="V62" s="3"/>
    </row>
    <row r="63" spans="2:22" s="364" customFormat="1" ht="21.75" customHeight="1">
      <c r="B63" s="405" t="s">
        <v>1356</v>
      </c>
      <c r="C63" s="406">
        <v>1121</v>
      </c>
      <c r="D63" s="408"/>
      <c r="E63" s="408">
        <v>0</v>
      </c>
      <c r="F63" s="408">
        <f t="shared" ref="F63:F73" si="7">E63</f>
        <v>0</v>
      </c>
      <c r="G63" s="408">
        <f t="shared" si="5"/>
        <v>0</v>
      </c>
      <c r="H63" s="408">
        <v>0</v>
      </c>
      <c r="I63" s="408">
        <v>0</v>
      </c>
      <c r="J63" s="408">
        <v>0</v>
      </c>
      <c r="K63" s="408">
        <v>0</v>
      </c>
      <c r="L63" s="607">
        <f t="shared" si="0"/>
        <v>0</v>
      </c>
      <c r="M63" s="603">
        <v>0</v>
      </c>
      <c r="N63" s="603">
        <v>0</v>
      </c>
      <c r="O63" s="603">
        <v>0</v>
      </c>
      <c r="P63" s="603">
        <v>0</v>
      </c>
      <c r="Q63" s="603">
        <v>0</v>
      </c>
      <c r="R63" s="603">
        <v>0</v>
      </c>
      <c r="T63" s="365">
        <f t="shared" si="1"/>
        <v>0</v>
      </c>
      <c r="V63" s="3"/>
    </row>
    <row r="64" spans="2:22" s="364" customFormat="1" ht="21.75" customHeight="1">
      <c r="B64" s="405" t="s">
        <v>1357</v>
      </c>
      <c r="C64" s="406">
        <v>1122</v>
      </c>
      <c r="D64" s="408"/>
      <c r="E64" s="408">
        <v>0</v>
      </c>
      <c r="F64" s="408">
        <f t="shared" si="7"/>
        <v>0</v>
      </c>
      <c r="G64" s="408">
        <f t="shared" si="5"/>
        <v>0</v>
      </c>
      <c r="H64" s="408">
        <v>0</v>
      </c>
      <c r="I64" s="408">
        <v>0</v>
      </c>
      <c r="J64" s="408">
        <v>0</v>
      </c>
      <c r="K64" s="408">
        <v>0</v>
      </c>
      <c r="L64" s="607">
        <f t="shared" si="0"/>
        <v>0</v>
      </c>
      <c r="M64" s="603">
        <v>0</v>
      </c>
      <c r="N64" s="603">
        <v>0</v>
      </c>
      <c r="O64" s="603">
        <v>0</v>
      </c>
      <c r="P64" s="603">
        <v>0</v>
      </c>
      <c r="Q64" s="603">
        <v>0</v>
      </c>
      <c r="R64" s="603">
        <v>0</v>
      </c>
      <c r="T64" s="365">
        <f t="shared" si="1"/>
        <v>0</v>
      </c>
      <c r="V64" s="3"/>
    </row>
    <row r="65" spans="2:22" s="364" customFormat="1" ht="21.75" customHeight="1">
      <c r="B65" s="405" t="s">
        <v>1358</v>
      </c>
      <c r="C65" s="406">
        <v>1123</v>
      </c>
      <c r="D65" s="408"/>
      <c r="E65" s="408">
        <v>2954000</v>
      </c>
      <c r="F65" s="408">
        <f t="shared" si="7"/>
        <v>2954000</v>
      </c>
      <c r="G65" s="670">
        <f>H65+I65+J65+K65</f>
        <v>4014816.426599999</v>
      </c>
      <c r="H65" s="408">
        <f ca="1">Енергоносії...!D18</f>
        <v>1250328.5442839998</v>
      </c>
      <c r="I65" s="408">
        <f ca="1">Енергоносії...!D19</f>
        <v>768550.57309199986</v>
      </c>
      <c r="J65" s="408">
        <f ca="1">Енергоносії...!D20</f>
        <v>802963.28531999991</v>
      </c>
      <c r="K65" s="408">
        <f ca="1">Енергоносії...!D21</f>
        <v>1192974.0239039997</v>
      </c>
      <c r="L65" s="607">
        <f t="shared" si="0"/>
        <v>1423021.426599999</v>
      </c>
      <c r="M65" s="603">
        <v>2591795</v>
      </c>
      <c r="N65" s="603">
        <v>2591795</v>
      </c>
      <c r="O65" s="603">
        <v>748443.7</v>
      </c>
      <c r="P65" s="603">
        <v>554527.5</v>
      </c>
      <c r="Q65" s="603">
        <v>517559</v>
      </c>
      <c r="R65" s="603">
        <v>771264.8</v>
      </c>
      <c r="T65" s="601">
        <f t="shared" si="1"/>
        <v>501884.84428399988</v>
      </c>
      <c r="V65" s="3"/>
    </row>
    <row r="66" spans="2:22" s="364" customFormat="1" ht="21.75" customHeight="1">
      <c r="B66" s="405" t="s">
        <v>1359</v>
      </c>
      <c r="C66" s="406">
        <v>1124</v>
      </c>
      <c r="D66" s="408"/>
      <c r="E66" s="408">
        <v>0</v>
      </c>
      <c r="F66" s="408">
        <f t="shared" si="7"/>
        <v>0</v>
      </c>
      <c r="G66" s="408">
        <f t="shared" si="5"/>
        <v>0</v>
      </c>
      <c r="H66" s="408">
        <v>0</v>
      </c>
      <c r="I66" s="408">
        <v>0</v>
      </c>
      <c r="J66" s="408">
        <v>0</v>
      </c>
      <c r="K66" s="408">
        <v>0</v>
      </c>
      <c r="L66" s="607">
        <f t="shared" si="0"/>
        <v>0</v>
      </c>
      <c r="M66" s="603">
        <v>0</v>
      </c>
      <c r="N66" s="603">
        <v>0</v>
      </c>
      <c r="O66" s="603">
        <v>0</v>
      </c>
      <c r="P66" s="603">
        <v>0</v>
      </c>
      <c r="Q66" s="603">
        <v>0</v>
      </c>
      <c r="R66" s="603">
        <v>0</v>
      </c>
      <c r="T66" s="365">
        <f t="shared" si="1"/>
        <v>0</v>
      </c>
      <c r="V66" s="3"/>
    </row>
    <row r="67" spans="2:22" s="364" customFormat="1" ht="21.75" customHeight="1">
      <c r="B67" s="405" t="s">
        <v>1360</v>
      </c>
      <c r="C67" s="406">
        <v>1125</v>
      </c>
      <c r="D67" s="408"/>
      <c r="E67" s="408">
        <v>2979450</v>
      </c>
      <c r="F67" s="408">
        <f t="shared" si="7"/>
        <v>2979450</v>
      </c>
      <c r="G67" s="408">
        <f t="shared" si="5"/>
        <v>3090896</v>
      </c>
      <c r="H67" s="408">
        <f ca="1">Енергоносії...!I34</f>
        <v>1544724</v>
      </c>
      <c r="I67" s="408">
        <f ca="1">Енергоносії...!I35</f>
        <v>284724</v>
      </c>
      <c r="J67" s="408">
        <f ca="1">Енергоносії...!I36</f>
        <v>32724</v>
      </c>
      <c r="K67" s="408">
        <f ca="1">Енергоносії...!I37</f>
        <v>1228724</v>
      </c>
      <c r="L67" s="607">
        <f t="shared" si="0"/>
        <v>-609630.39999999991</v>
      </c>
      <c r="M67" s="603">
        <v>3700526.4</v>
      </c>
      <c r="N67" s="603">
        <v>3700526.4</v>
      </c>
      <c r="O67" s="603">
        <v>1805351.3802197801</v>
      </c>
      <c r="P67" s="603">
        <v>321834.89670329669</v>
      </c>
      <c r="Q67" s="603">
        <v>25131.599999999999</v>
      </c>
      <c r="R67" s="603">
        <v>1548208.5230769231</v>
      </c>
      <c r="T67" s="600">
        <f t="shared" si="1"/>
        <v>-260627.38021978014</v>
      </c>
      <c r="V67" s="3"/>
    </row>
    <row r="68" spans="2:22" s="364" customFormat="1" ht="21.75" customHeight="1">
      <c r="B68" s="405" t="s">
        <v>1361</v>
      </c>
      <c r="C68" s="406">
        <v>1126</v>
      </c>
      <c r="D68" s="408">
        <v>0</v>
      </c>
      <c r="E68" s="408">
        <v>0</v>
      </c>
      <c r="F68" s="408">
        <f t="shared" si="7"/>
        <v>0</v>
      </c>
      <c r="G68" s="408">
        <f t="shared" si="5"/>
        <v>0</v>
      </c>
      <c r="H68" s="408">
        <v>0</v>
      </c>
      <c r="I68" s="408">
        <v>0</v>
      </c>
      <c r="J68" s="408">
        <v>0</v>
      </c>
      <c r="K68" s="408">
        <v>0</v>
      </c>
      <c r="L68" s="607">
        <f t="shared" si="0"/>
        <v>0</v>
      </c>
      <c r="M68" s="603">
        <v>0</v>
      </c>
      <c r="N68" s="603">
        <v>0</v>
      </c>
      <c r="O68" s="603">
        <v>0</v>
      </c>
      <c r="P68" s="603">
        <v>0</v>
      </c>
      <c r="Q68" s="603">
        <v>0</v>
      </c>
      <c r="R68" s="603">
        <v>0</v>
      </c>
      <c r="T68" s="365">
        <f t="shared" si="1"/>
        <v>0</v>
      </c>
      <c r="V68" s="3"/>
    </row>
    <row r="69" spans="2:22" s="364" customFormat="1" ht="42.75" customHeight="1">
      <c r="B69" s="593" t="s">
        <v>1471</v>
      </c>
      <c r="C69" s="406">
        <v>1130</v>
      </c>
      <c r="D69" s="408">
        <v>0</v>
      </c>
      <c r="E69" s="408">
        <v>0</v>
      </c>
      <c r="F69" s="408">
        <f t="shared" si="7"/>
        <v>0</v>
      </c>
      <c r="G69" s="408">
        <f t="shared" si="5"/>
        <v>0</v>
      </c>
      <c r="H69" s="408">
        <v>0</v>
      </c>
      <c r="I69" s="408">
        <v>0</v>
      </c>
      <c r="J69" s="408">
        <v>0</v>
      </c>
      <c r="K69" s="408">
        <v>0</v>
      </c>
      <c r="L69" s="607">
        <f t="shared" si="0"/>
        <v>0</v>
      </c>
      <c r="M69" s="603">
        <v>0</v>
      </c>
      <c r="N69" s="603">
        <v>0</v>
      </c>
      <c r="O69" s="603">
        <v>0</v>
      </c>
      <c r="P69" s="603">
        <v>0</v>
      </c>
      <c r="Q69" s="603">
        <v>0</v>
      </c>
      <c r="R69" s="603">
        <v>0</v>
      </c>
      <c r="T69" s="365">
        <f t="shared" si="1"/>
        <v>0</v>
      </c>
      <c r="V69" s="3"/>
    </row>
    <row r="70" spans="2:22" s="373" customFormat="1" ht="21.75" customHeight="1">
      <c r="B70" s="409" t="s">
        <v>1472</v>
      </c>
      <c r="C70" s="410">
        <v>1140</v>
      </c>
      <c r="D70" s="412"/>
      <c r="E70" s="412">
        <v>72000</v>
      </c>
      <c r="F70" s="412">
        <f t="shared" si="7"/>
        <v>72000</v>
      </c>
      <c r="G70" s="412">
        <f>H70+I70+J70+K70</f>
        <v>88664.16</v>
      </c>
      <c r="H70" s="412">
        <f ca="1">Видатки!C15</f>
        <v>22166.04</v>
      </c>
      <c r="I70" s="412">
        <f ca="1">Видатки!D15</f>
        <v>22166.04</v>
      </c>
      <c r="J70" s="412">
        <f ca="1">Видатки!E15</f>
        <v>22166.04</v>
      </c>
      <c r="K70" s="412">
        <f ca="1">Видатки!F15</f>
        <v>22166.04</v>
      </c>
      <c r="L70" s="607">
        <f t="shared" si="0"/>
        <v>16664.160000000003</v>
      </c>
      <c r="M70" s="602">
        <v>72000</v>
      </c>
      <c r="N70" s="602">
        <v>72000</v>
      </c>
      <c r="O70" s="602">
        <v>18000</v>
      </c>
      <c r="P70" s="602">
        <v>18000</v>
      </c>
      <c r="Q70" s="602">
        <v>18000</v>
      </c>
      <c r="R70" s="602">
        <v>18000</v>
      </c>
      <c r="T70" s="365">
        <f t="shared" si="1"/>
        <v>4166.0400000000009</v>
      </c>
      <c r="V70" s="3"/>
    </row>
    <row r="71" spans="2:22" s="373" customFormat="1" ht="21.75" customHeight="1">
      <c r="B71" s="409" t="s">
        <v>1473</v>
      </c>
      <c r="C71" s="410">
        <v>1150</v>
      </c>
      <c r="D71" s="412"/>
      <c r="E71" s="412">
        <v>504725</v>
      </c>
      <c r="F71" s="412">
        <f>E71</f>
        <v>504725</v>
      </c>
      <c r="G71" s="412">
        <f>H71+I71+J71+K71</f>
        <v>522083.2</v>
      </c>
      <c r="H71" s="412">
        <f ca="1">Видатки!C16</f>
        <v>277793</v>
      </c>
      <c r="I71" s="412">
        <f ca="1">Видатки!D16</f>
        <v>189492.2</v>
      </c>
      <c r="J71" s="412">
        <f ca="1">Видатки!E16</f>
        <v>34463</v>
      </c>
      <c r="K71" s="412">
        <f ca="1">Видатки!F16</f>
        <v>20335</v>
      </c>
      <c r="L71" s="607">
        <f t="shared" ref="L71:L102" si="8">G71-M71</f>
        <v>-679138.8</v>
      </c>
      <c r="M71" s="602">
        <v>1201222</v>
      </c>
      <c r="N71" s="602">
        <v>1201222</v>
      </c>
      <c r="O71" s="602">
        <v>304790</v>
      </c>
      <c r="P71" s="602">
        <v>280724</v>
      </c>
      <c r="Q71" s="602">
        <v>324293</v>
      </c>
      <c r="R71" s="602">
        <v>291415</v>
      </c>
      <c r="T71" s="365">
        <f t="shared" ref="T71:T102" si="9">H71-O71</f>
        <v>-26997</v>
      </c>
      <c r="V71" s="3"/>
    </row>
    <row r="72" spans="2:22" s="77" customFormat="1" ht="27.75" customHeight="1">
      <c r="B72" s="656" t="s">
        <v>1349</v>
      </c>
      <c r="C72" s="657">
        <v>1160</v>
      </c>
      <c r="D72" s="397">
        <f>D91</f>
        <v>0</v>
      </c>
      <c r="E72" s="397">
        <v>2838200</v>
      </c>
      <c r="F72" s="397">
        <f t="shared" si="7"/>
        <v>2838200</v>
      </c>
      <c r="G72" s="397">
        <f>H72+I72+J72+K72</f>
        <v>0</v>
      </c>
      <c r="H72" s="397">
        <f>H91</f>
        <v>0</v>
      </c>
      <c r="I72" s="397">
        <f>I91</f>
        <v>0</v>
      </c>
      <c r="J72" s="397">
        <f>J91</f>
        <v>0</v>
      </c>
      <c r="K72" s="397">
        <f>K91</f>
        <v>0</v>
      </c>
      <c r="L72" s="607">
        <f t="shared" si="8"/>
        <v>-2497000</v>
      </c>
      <c r="M72" s="608">
        <v>2497000</v>
      </c>
      <c r="N72" s="608">
        <v>2497000</v>
      </c>
      <c r="O72" s="608">
        <v>537000</v>
      </c>
      <c r="P72" s="608">
        <v>1080000</v>
      </c>
      <c r="Q72" s="608">
        <v>840000</v>
      </c>
      <c r="R72" s="608">
        <v>40000</v>
      </c>
      <c r="T72" s="365">
        <f t="shared" si="9"/>
        <v>-537000</v>
      </c>
      <c r="V72" s="3"/>
    </row>
    <row r="73" spans="2:22" s="364" customFormat="1" ht="21.75" customHeight="1">
      <c r="B73" s="405" t="s">
        <v>1312</v>
      </c>
      <c r="C73" s="406">
        <v>1161</v>
      </c>
      <c r="D73" s="408">
        <v>0</v>
      </c>
      <c r="E73" s="408">
        <v>0</v>
      </c>
      <c r="F73" s="408">
        <f t="shared" si="7"/>
        <v>0</v>
      </c>
      <c r="G73" s="408">
        <f>H73+I73+J73+K73</f>
        <v>0</v>
      </c>
      <c r="H73" s="408">
        <v>0</v>
      </c>
      <c r="I73" s="408">
        <v>0</v>
      </c>
      <c r="J73" s="408">
        <v>0</v>
      </c>
      <c r="K73" s="408">
        <v>0</v>
      </c>
      <c r="L73" s="607">
        <f t="shared" si="8"/>
        <v>0</v>
      </c>
      <c r="M73" s="603">
        <v>0</v>
      </c>
      <c r="N73" s="603">
        <v>0</v>
      </c>
      <c r="O73" s="603">
        <v>0</v>
      </c>
      <c r="P73" s="603">
        <v>0</v>
      </c>
      <c r="Q73" s="603">
        <v>0</v>
      </c>
      <c r="R73" s="603">
        <v>0</v>
      </c>
      <c r="T73" s="365">
        <f t="shared" si="9"/>
        <v>0</v>
      </c>
      <c r="V73" s="3"/>
    </row>
    <row r="74" spans="2:22" s="364" customFormat="1" ht="21.75" customHeight="1">
      <c r="B74" s="405" t="s">
        <v>1313</v>
      </c>
      <c r="C74" s="406">
        <v>1162</v>
      </c>
      <c r="D74" s="408">
        <v>0</v>
      </c>
      <c r="E74" s="408">
        <v>2838200</v>
      </c>
      <c r="F74" s="408">
        <f t="shared" ref="F74:K74" si="10">F93</f>
        <v>0</v>
      </c>
      <c r="G74" s="408">
        <f t="shared" si="10"/>
        <v>0</v>
      </c>
      <c r="H74" s="408">
        <f>H93</f>
        <v>0</v>
      </c>
      <c r="I74" s="408">
        <f t="shared" si="10"/>
        <v>0</v>
      </c>
      <c r="J74" s="408">
        <f t="shared" si="10"/>
        <v>0</v>
      </c>
      <c r="K74" s="408">
        <f t="shared" si="10"/>
        <v>0</v>
      </c>
      <c r="L74" s="607">
        <f t="shared" si="8"/>
        <v>-2297000</v>
      </c>
      <c r="M74" s="603">
        <v>2297000</v>
      </c>
      <c r="N74" s="603">
        <v>2297000</v>
      </c>
      <c r="O74" s="603">
        <v>497000</v>
      </c>
      <c r="P74" s="603">
        <v>1000000</v>
      </c>
      <c r="Q74" s="603">
        <v>800000</v>
      </c>
      <c r="R74" s="603">
        <v>0</v>
      </c>
      <c r="T74" s="365">
        <f t="shared" si="9"/>
        <v>-497000</v>
      </c>
      <c r="V74" s="3"/>
    </row>
    <row r="75" spans="2:22" s="364" customFormat="1" ht="21.75" customHeight="1">
      <c r="B75" s="405" t="s">
        <v>1314</v>
      </c>
      <c r="C75" s="406">
        <v>1163</v>
      </c>
      <c r="D75" s="408">
        <v>0</v>
      </c>
      <c r="E75" s="408">
        <v>0</v>
      </c>
      <c r="F75" s="408">
        <f t="shared" ref="F75:K75" si="11">F94</f>
        <v>0</v>
      </c>
      <c r="G75" s="408">
        <f>G94</f>
        <v>0</v>
      </c>
      <c r="H75" s="408">
        <f>H94</f>
        <v>0</v>
      </c>
      <c r="I75" s="408">
        <f t="shared" si="11"/>
        <v>0</v>
      </c>
      <c r="J75" s="408">
        <f t="shared" si="11"/>
        <v>0</v>
      </c>
      <c r="K75" s="408">
        <f t="shared" si="11"/>
        <v>0</v>
      </c>
      <c r="L75" s="607">
        <f t="shared" si="8"/>
        <v>-200000</v>
      </c>
      <c r="M75" s="603">
        <v>200000</v>
      </c>
      <c r="N75" s="603">
        <v>200000</v>
      </c>
      <c r="O75" s="603">
        <v>40000</v>
      </c>
      <c r="P75" s="603">
        <v>80000</v>
      </c>
      <c r="Q75" s="603">
        <v>40000</v>
      </c>
      <c r="R75" s="603">
        <v>40000</v>
      </c>
      <c r="T75" s="365">
        <f t="shared" si="9"/>
        <v>-40000</v>
      </c>
      <c r="V75" s="3"/>
    </row>
    <row r="76" spans="2:22" s="3" customFormat="1" ht="21.75" customHeight="1">
      <c r="B76" s="656" t="s">
        <v>1474</v>
      </c>
      <c r="C76" s="657">
        <v>1170</v>
      </c>
      <c r="D76" s="397">
        <f>D78+D77</f>
        <v>0</v>
      </c>
      <c r="E76" s="397">
        <v>364008</v>
      </c>
      <c r="F76" s="397">
        <f>F78+F77</f>
        <v>364009</v>
      </c>
      <c r="G76" s="397">
        <f>G77+G78</f>
        <v>452907.61295772903</v>
      </c>
      <c r="H76" s="397">
        <f>H77+H78</f>
        <v>145679.61343067954</v>
      </c>
      <c r="I76" s="397">
        <f>I77+I78</f>
        <v>93585.21852591596</v>
      </c>
      <c r="J76" s="397">
        <f>J77+J78</f>
        <v>87571.956296991208</v>
      </c>
      <c r="K76" s="397">
        <f>K77+K78</f>
        <v>126070.8247041423</v>
      </c>
      <c r="L76" s="607">
        <f t="shared" si="8"/>
        <v>275407.61295772903</v>
      </c>
      <c r="M76" s="365">
        <v>177500</v>
      </c>
      <c r="N76" s="365">
        <v>177500</v>
      </c>
      <c r="O76" s="365">
        <v>44375</v>
      </c>
      <c r="P76" s="365">
        <v>44375</v>
      </c>
      <c r="Q76" s="365">
        <v>44375</v>
      </c>
      <c r="R76" s="365">
        <v>44375</v>
      </c>
      <c r="T76" s="365">
        <f t="shared" si="9"/>
        <v>101304.61343067954</v>
      </c>
    </row>
    <row r="77" spans="2:22" ht="21.75" customHeight="1">
      <c r="B77" s="405" t="s">
        <v>1557</v>
      </c>
      <c r="C77" s="406">
        <v>1171</v>
      </c>
      <c r="D77" s="408"/>
      <c r="E77" s="408">
        <v>134825</v>
      </c>
      <c r="F77" s="408">
        <f>E77</f>
        <v>134825</v>
      </c>
      <c r="G77" s="408">
        <f>SUM(H77:K77)</f>
        <v>189920.86499999999</v>
      </c>
      <c r="H77" s="408">
        <f ca="1">Видатки!C20</f>
        <v>47480.216249999998</v>
      </c>
      <c r="I77" s="408">
        <f ca="1">Видатки!D20</f>
        <v>47480.216249999998</v>
      </c>
      <c r="J77" s="408">
        <f ca="1">Видатки!E20</f>
        <v>47480.216249999998</v>
      </c>
      <c r="K77" s="408">
        <f ca="1">Видатки!F20</f>
        <v>47480.216249999998</v>
      </c>
      <c r="L77" s="607">
        <f t="shared" si="8"/>
        <v>12420.864999999991</v>
      </c>
      <c r="M77" s="374">
        <v>177500</v>
      </c>
      <c r="N77" s="374">
        <v>177500</v>
      </c>
      <c r="O77" s="374">
        <v>44375</v>
      </c>
      <c r="P77" s="374">
        <v>44375</v>
      </c>
      <c r="Q77" s="374">
        <v>44375</v>
      </c>
      <c r="R77" s="374">
        <v>44375</v>
      </c>
      <c r="T77" s="365">
        <f t="shared" si="9"/>
        <v>3105.2162499999977</v>
      </c>
      <c r="V77" s="3"/>
    </row>
    <row r="78" spans="2:22" ht="21.75" customHeight="1">
      <c r="B78" s="405" t="s">
        <v>175</v>
      </c>
      <c r="C78" s="406">
        <v>1172</v>
      </c>
      <c r="D78" s="408"/>
      <c r="E78" s="408">
        <v>229184</v>
      </c>
      <c r="F78" s="408">
        <f>E78</f>
        <v>229184</v>
      </c>
      <c r="G78" s="408">
        <f>H78+I78+J78+K78</f>
        <v>262986.74795772904</v>
      </c>
      <c r="H78" s="408">
        <f ca="1">Видатки!C18</f>
        <v>98199.397180679545</v>
      </c>
      <c r="I78" s="408">
        <f ca="1">Видатки!D18</f>
        <v>46105.002275915955</v>
      </c>
      <c r="J78" s="408">
        <f ca="1">Видатки!E18</f>
        <v>40091.740046991217</v>
      </c>
      <c r="K78" s="408">
        <f ca="1">Видатки!F18</f>
        <v>78590.608454142304</v>
      </c>
      <c r="L78" s="607">
        <f t="shared" si="8"/>
        <v>262986.74795772904</v>
      </c>
      <c r="M78" s="374">
        <v>0</v>
      </c>
      <c r="N78" s="374">
        <v>0</v>
      </c>
      <c r="O78" s="374">
        <v>0</v>
      </c>
      <c r="P78" s="374">
        <v>0</v>
      </c>
      <c r="Q78" s="374">
        <v>0</v>
      </c>
      <c r="R78" s="374">
        <v>0</v>
      </c>
      <c r="T78" s="365">
        <f t="shared" si="9"/>
        <v>98199.397180679545</v>
      </c>
      <c r="V78" s="3"/>
    </row>
    <row r="79" spans="2:22" ht="21.75" customHeight="1">
      <c r="B79" s="593" t="s">
        <v>1475</v>
      </c>
      <c r="C79" s="406">
        <v>1180</v>
      </c>
      <c r="D79" s="408">
        <v>0</v>
      </c>
      <c r="E79" s="408">
        <v>0</v>
      </c>
      <c r="F79" s="408">
        <f>E79</f>
        <v>0</v>
      </c>
      <c r="G79" s="408">
        <f>H79+I79+J79+K79</f>
        <v>0</v>
      </c>
      <c r="H79" s="408">
        <f ca="1">Видатки!C19</f>
        <v>0</v>
      </c>
      <c r="I79" s="408">
        <f ca="1">Видатки!D19</f>
        <v>0</v>
      </c>
      <c r="J79" s="408">
        <f ca="1">Видатки!E19</f>
        <v>0</v>
      </c>
      <c r="K79" s="408">
        <f ca="1">Видатки!F19</f>
        <v>0</v>
      </c>
      <c r="L79" s="607">
        <f t="shared" si="8"/>
        <v>0</v>
      </c>
      <c r="M79" s="374">
        <v>0</v>
      </c>
      <c r="N79" s="374">
        <v>0</v>
      </c>
      <c r="O79" s="374">
        <v>0</v>
      </c>
      <c r="P79" s="374">
        <v>0</v>
      </c>
      <c r="Q79" s="374">
        <v>0</v>
      </c>
      <c r="R79" s="374">
        <v>0</v>
      </c>
      <c r="T79" s="365">
        <f t="shared" si="9"/>
        <v>0</v>
      </c>
      <c r="V79" s="3"/>
    </row>
    <row r="80" spans="2:22" s="3" customFormat="1" ht="22.5">
      <c r="B80" s="409" t="s">
        <v>1476</v>
      </c>
      <c r="C80" s="410">
        <v>1200</v>
      </c>
      <c r="D80" s="412">
        <f>D39+D40+D44+D48</f>
        <v>0</v>
      </c>
      <c r="E80" s="412">
        <f>E39+E40+E44+E48</f>
        <v>66233041</v>
      </c>
      <c r="F80" s="412">
        <f>F39+F40+F44+F48</f>
        <v>66233041</v>
      </c>
      <c r="G80" s="412">
        <f>H80+I80+J80+K80</f>
        <v>67371042.886412382</v>
      </c>
      <c r="H80" s="412">
        <f>H39+H40+H44+H48</f>
        <v>17925049.811389156</v>
      </c>
      <c r="I80" s="412">
        <f>I39+I40+I44+I48</f>
        <v>16086872.640852218</v>
      </c>
      <c r="J80" s="412">
        <f>J39+J40+J44+J48</f>
        <v>15857303.156544564</v>
      </c>
      <c r="K80" s="412">
        <f>K39+K40+K44+K48</f>
        <v>17501817.277626436</v>
      </c>
      <c r="L80" s="607">
        <f t="shared" si="8"/>
        <v>5020465.4825165793</v>
      </c>
      <c r="M80" s="365">
        <v>62350577.403895803</v>
      </c>
      <c r="N80" s="365">
        <v>62350577.40389581</v>
      </c>
      <c r="O80" s="365">
        <v>16629651.004183017</v>
      </c>
      <c r="P80" s="365">
        <v>15238815.910583468</v>
      </c>
      <c r="Q80" s="365">
        <v>14687979.125063557</v>
      </c>
      <c r="R80" s="365">
        <v>15794131.364065763</v>
      </c>
      <c r="T80" s="365">
        <f t="shared" si="9"/>
        <v>1295398.807206139</v>
      </c>
    </row>
    <row r="81" spans="2:22" s="3" customFormat="1" ht="22.5">
      <c r="B81" s="409" t="s">
        <v>1477</v>
      </c>
      <c r="C81" s="410">
        <v>1300</v>
      </c>
      <c r="D81" s="412">
        <f>SUM(D52:D53)+D69+D70+D71+D76+D79+D55+D56+D57+SUM(D58:D62)+D72</f>
        <v>0</v>
      </c>
      <c r="E81" s="412">
        <v>61367318</v>
      </c>
      <c r="F81" s="412">
        <f>SUM(F52:F53)+F69+F70+F71+F76+F79+F55+F56+F57+SUM(F58:F62)+F72</f>
        <v>61367320</v>
      </c>
      <c r="G81" s="412">
        <f>H81+I81+J81+K81</f>
        <v>63915904.578105733</v>
      </c>
      <c r="H81" s="412">
        <f>SUM(H52:H53)+H69+H70+H71+H76+H79+H55+H56+H57+SUM(H58:H62)+H72</f>
        <v>17115084.107351679</v>
      </c>
      <c r="I81" s="412">
        <f>SUM(I52:I53)+I69+I70+I71+I76+I79+I55+I56+I57+SUM(I58:I62)+I72</f>
        <v>15323415.241254916</v>
      </c>
      <c r="J81" s="412">
        <f>SUM(J52:J53)+J69+J70+J71+J76+J79+J55+J56+J57+SUM(J58:J62)+J72</f>
        <v>14931072.661253992</v>
      </c>
      <c r="K81" s="412">
        <f>SUM(K52:K53)+K69+K70+K71+K76+K79+K55+K56+K57+SUM(K58:K62)+K72</f>
        <v>16546332.568245143</v>
      </c>
      <c r="L81" s="607">
        <f t="shared" si="8"/>
        <v>1565327.4256182685</v>
      </c>
      <c r="M81" s="365">
        <v>62350577.152487464</v>
      </c>
      <c r="N81" s="365">
        <v>62350577.152487472</v>
      </c>
      <c r="O81" s="365">
        <v>16629651.007892715</v>
      </c>
      <c r="P81" s="365">
        <v>15238815.906742517</v>
      </c>
      <c r="Q81" s="365">
        <v>14687979.129694484</v>
      </c>
      <c r="R81" s="365">
        <v>15794131.108157754</v>
      </c>
      <c r="T81" s="365">
        <f t="shared" si="9"/>
        <v>485433.09945896454</v>
      </c>
    </row>
    <row r="82" spans="2:22" s="3" customFormat="1" ht="22.5">
      <c r="B82" s="409" t="s">
        <v>1478</v>
      </c>
      <c r="C82" s="410">
        <v>1400</v>
      </c>
      <c r="D82" s="412">
        <f t="shared" ref="D82:J82" si="12">D80-D81</f>
        <v>0</v>
      </c>
      <c r="E82" s="412">
        <f>E80-E81</f>
        <v>4865723</v>
      </c>
      <c r="F82" s="412">
        <f t="shared" si="12"/>
        <v>4865721</v>
      </c>
      <c r="G82" s="412">
        <f>G80-G81</f>
        <v>3455138.3083066493</v>
      </c>
      <c r="H82" s="412">
        <f>H80-H81</f>
        <v>809965.70403747633</v>
      </c>
      <c r="I82" s="412">
        <f t="shared" si="12"/>
        <v>763457.39959730208</v>
      </c>
      <c r="J82" s="412">
        <f t="shared" si="12"/>
        <v>926230.49529057182</v>
      </c>
      <c r="K82" s="412">
        <f>K80-K81</f>
        <v>955484.70938129351</v>
      </c>
      <c r="L82" s="607">
        <f>G82-M82</f>
        <v>3455138.0568983108</v>
      </c>
      <c r="M82" s="365">
        <v>0.25140833854675293</v>
      </c>
      <c r="N82" s="365">
        <v>0.25140833854675293</v>
      </c>
      <c r="O82" s="365">
        <v>-3.7096980959177017E-3</v>
      </c>
      <c r="P82" s="365">
        <v>3.8409512490034103E-3</v>
      </c>
      <c r="Q82" s="365">
        <v>-4.6309269964694977E-3</v>
      </c>
      <c r="R82" s="365">
        <v>0.25590800866484642</v>
      </c>
      <c r="T82" s="365">
        <f t="shared" si="9"/>
        <v>809965.70774717443</v>
      </c>
    </row>
    <row r="83" spans="2:22" ht="22.5">
      <c r="B83" s="926"/>
      <c r="C83" s="927"/>
      <c r="D83" s="927"/>
      <c r="E83" s="927"/>
      <c r="F83" s="927"/>
      <c r="G83" s="927"/>
      <c r="H83" s="927"/>
      <c r="I83" s="927"/>
      <c r="J83" s="927"/>
      <c r="K83" s="927"/>
      <c r="L83" s="607">
        <f t="shared" si="8"/>
        <v>0</v>
      </c>
      <c r="T83" s="365">
        <f t="shared" si="9"/>
        <v>0</v>
      </c>
      <c r="V83" s="3"/>
    </row>
    <row r="84" spans="2:22" ht="21.75" customHeight="1">
      <c r="B84" s="921" t="s">
        <v>1479</v>
      </c>
      <c r="C84" s="921"/>
      <c r="D84" s="921"/>
      <c r="E84" s="921"/>
      <c r="F84" s="921"/>
      <c r="G84" s="921"/>
      <c r="H84" s="921"/>
      <c r="I84" s="921"/>
      <c r="J84" s="921"/>
      <c r="K84" s="921"/>
      <c r="L84" s="607">
        <f t="shared" si="8"/>
        <v>0</v>
      </c>
      <c r="T84" s="365">
        <f t="shared" si="9"/>
        <v>0</v>
      </c>
      <c r="V84" s="3"/>
    </row>
    <row r="85" spans="2:22" ht="21.75" customHeight="1">
      <c r="B85" s="826" t="s">
        <v>1480</v>
      </c>
      <c r="C85" s="827">
        <v>2010</v>
      </c>
      <c r="D85" s="408"/>
      <c r="E85" s="408">
        <v>7622597</v>
      </c>
      <c r="F85" s="408">
        <f>G85</f>
        <v>9499140.0135397315</v>
      </c>
      <c r="G85" s="408">
        <f>H85+I85+J85+K85</f>
        <v>9499140.0135397315</v>
      </c>
      <c r="H85" s="408">
        <f ca="1">Видатки!C21</f>
        <v>2405099.8835761799</v>
      </c>
      <c r="I85" s="408">
        <f ca="1">Видатки!D21</f>
        <v>2355443.5386714162</v>
      </c>
      <c r="J85" s="408">
        <f ca="1">Видатки!E21</f>
        <v>2349017.8864424913</v>
      </c>
      <c r="K85" s="408">
        <f ca="1">Видатки!F21</f>
        <v>2389578.7048496427</v>
      </c>
      <c r="L85" s="607">
        <f t="shared" si="8"/>
        <v>2066029.353509644</v>
      </c>
      <c r="M85" s="2">
        <v>7433110.6600300875</v>
      </c>
      <c r="N85" s="2">
        <v>7433110.6600300875</v>
      </c>
      <c r="O85" s="2">
        <v>1890192.925274977</v>
      </c>
      <c r="P85" s="2">
        <v>1839723.2815806773</v>
      </c>
      <c r="Q85" s="2">
        <v>1816025.7242413987</v>
      </c>
      <c r="R85" s="2">
        <v>1887168.7289330342</v>
      </c>
      <c r="T85" s="365">
        <f t="shared" si="9"/>
        <v>514906.95830120286</v>
      </c>
      <c r="V85" s="3"/>
    </row>
    <row r="86" spans="2:22" ht="21.75" customHeight="1">
      <c r="B86" s="826" t="s">
        <v>1481</v>
      </c>
      <c r="C86" s="827">
        <v>2020</v>
      </c>
      <c r="D86" s="408"/>
      <c r="E86" s="408">
        <v>4500</v>
      </c>
      <c r="F86" s="408">
        <f>G86</f>
        <v>4500</v>
      </c>
      <c r="G86" s="408">
        <f>H86+I86+J86+K86</f>
        <v>4500</v>
      </c>
      <c r="H86" s="408">
        <f ca="1">Видатки!C23</f>
        <v>4500</v>
      </c>
      <c r="I86" s="408">
        <f ca="1">Видатки!D23</f>
        <v>0</v>
      </c>
      <c r="J86" s="408">
        <f ca="1">Видатки!E23</f>
        <v>0</v>
      </c>
      <c r="K86" s="408">
        <f ca="1">Видатки!F23</f>
        <v>0</v>
      </c>
      <c r="L86" s="607">
        <f t="shared" si="8"/>
        <v>-1000</v>
      </c>
      <c r="M86" s="2">
        <v>5500</v>
      </c>
      <c r="N86" s="2">
        <v>5500</v>
      </c>
      <c r="O86" s="2">
        <v>4750</v>
      </c>
      <c r="P86" s="2">
        <v>250</v>
      </c>
      <c r="Q86" s="2">
        <v>250</v>
      </c>
      <c r="R86" s="2">
        <v>250</v>
      </c>
      <c r="T86" s="365">
        <f t="shared" si="9"/>
        <v>-250</v>
      </c>
      <c r="V86" s="3"/>
    </row>
    <row r="87" spans="2:22" ht="21.75" customHeight="1">
      <c r="B87" s="826" t="s">
        <v>1482</v>
      </c>
      <c r="C87" s="827">
        <v>2030</v>
      </c>
      <c r="D87" s="828"/>
      <c r="E87" s="408">
        <v>8365518</v>
      </c>
      <c r="F87" s="408">
        <f>G87</f>
        <v>8856494.4279480018</v>
      </c>
      <c r="G87" s="408">
        <f>H87+I87+J87+K87</f>
        <v>8856494.4279480018</v>
      </c>
      <c r="H87" s="408">
        <f ca="1">Видатки!C27+Видатки!C6+Видатки!C24</f>
        <v>2215306.9869870003</v>
      </c>
      <c r="I87" s="408">
        <f ca="1">Видатки!D27+Видатки!D6+Видатки!D24</f>
        <v>2213334.6869870005</v>
      </c>
      <c r="J87" s="408">
        <f ca="1">Видатки!E27+Видатки!E6+Видатки!E24</f>
        <v>2212940.2269870006</v>
      </c>
      <c r="K87" s="408">
        <f ca="1">Видатки!F27+Видатки!F6+Видатки!F24</f>
        <v>2214912.5269870004</v>
      </c>
      <c r="L87" s="607">
        <f t="shared" si="8"/>
        <v>864702.34458149597</v>
      </c>
      <c r="M87" s="2">
        <v>7991792.0833665058</v>
      </c>
      <c r="N87" s="2">
        <v>7991792.0833665058</v>
      </c>
      <c r="O87" s="2">
        <v>2020731.9432518978</v>
      </c>
      <c r="P87" s="2">
        <v>1978867.9771274133</v>
      </c>
      <c r="Q87" s="2">
        <v>1973137.3369841063</v>
      </c>
      <c r="R87" s="2">
        <v>2019054.8260030891</v>
      </c>
      <c r="T87" s="365">
        <f t="shared" si="9"/>
        <v>194575.04373510252</v>
      </c>
      <c r="V87" s="3"/>
    </row>
    <row r="88" spans="2:22" ht="21.75" customHeight="1">
      <c r="B88" s="826" t="s">
        <v>1483</v>
      </c>
      <c r="C88" s="827">
        <v>2040</v>
      </c>
      <c r="D88" s="408"/>
      <c r="E88" s="408">
        <v>0</v>
      </c>
      <c r="F88" s="408">
        <f>G88</f>
        <v>0</v>
      </c>
      <c r="G88" s="408">
        <f>H88+I88+J88+K88</f>
        <v>0</v>
      </c>
      <c r="H88" s="408">
        <f ca="1">Видатки!C28</f>
        <v>0</v>
      </c>
      <c r="I88" s="408">
        <f ca="1">Видатки!D28</f>
        <v>0</v>
      </c>
      <c r="J88" s="408">
        <f ca="1">Видатки!E28</f>
        <v>0</v>
      </c>
      <c r="K88" s="408">
        <f ca="1">Видатки!F28</f>
        <v>0</v>
      </c>
      <c r="L88" s="607">
        <f t="shared" si="8"/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T88" s="365">
        <f t="shared" si="9"/>
        <v>0</v>
      </c>
      <c r="V88" s="3"/>
    </row>
    <row r="89" spans="2:22" ht="22.5">
      <c r="B89" s="906"/>
      <c r="C89" s="906"/>
      <c r="D89" s="906"/>
      <c r="E89" s="906"/>
      <c r="F89" s="906"/>
      <c r="G89" s="906"/>
      <c r="H89" s="906"/>
      <c r="I89" s="906"/>
      <c r="J89" s="906"/>
      <c r="K89" s="906"/>
      <c r="L89" s="607">
        <f t="shared" si="8"/>
        <v>0</v>
      </c>
      <c r="T89" s="365">
        <f t="shared" si="9"/>
        <v>0</v>
      </c>
      <c r="V89" s="3"/>
    </row>
    <row r="90" spans="2:22" ht="21.75" customHeight="1">
      <c r="B90" s="912" t="s">
        <v>1532</v>
      </c>
      <c r="C90" s="912"/>
      <c r="D90" s="912"/>
      <c r="E90" s="912"/>
      <c r="F90" s="912"/>
      <c r="G90" s="912"/>
      <c r="H90" s="912"/>
      <c r="I90" s="912"/>
      <c r="J90" s="912"/>
      <c r="K90" s="912"/>
      <c r="L90" s="607">
        <f t="shared" si="8"/>
        <v>0</v>
      </c>
      <c r="T90" s="365">
        <f t="shared" si="9"/>
        <v>0</v>
      </c>
      <c r="V90" s="3"/>
    </row>
    <row r="91" spans="2:22" ht="21.75" customHeight="1">
      <c r="B91" s="5" t="s">
        <v>1533</v>
      </c>
      <c r="C91" s="415">
        <v>3020</v>
      </c>
      <c r="D91" s="403">
        <f>SUM(D92:D97)</f>
        <v>0</v>
      </c>
      <c r="E91" s="403">
        <v>2838200</v>
      </c>
      <c r="F91" s="403">
        <f>SUM(F92:F97)</f>
        <v>0</v>
      </c>
      <c r="G91" s="403">
        <f>H91+I91+J91+K91</f>
        <v>0</v>
      </c>
      <c r="H91" s="403">
        <f>SUM(H92:H97)</f>
        <v>0</v>
      </c>
      <c r="I91" s="403">
        <f>SUM(I92:I97)</f>
        <v>0</v>
      </c>
      <c r="J91" s="403">
        <f>SUM(J92:J97)</f>
        <v>0</v>
      </c>
      <c r="K91" s="403">
        <f>SUM(K92:K97)</f>
        <v>0</v>
      </c>
      <c r="L91" s="607">
        <f t="shared" si="8"/>
        <v>-2497000</v>
      </c>
      <c r="M91" s="2">
        <v>2497000</v>
      </c>
      <c r="N91" s="2">
        <v>2497000</v>
      </c>
      <c r="O91" s="2">
        <v>537000</v>
      </c>
      <c r="P91" s="2">
        <v>1080000</v>
      </c>
      <c r="Q91" s="2">
        <v>840000</v>
      </c>
      <c r="R91" s="2">
        <v>40000</v>
      </c>
      <c r="T91" s="365">
        <f t="shared" si="9"/>
        <v>-537000</v>
      </c>
      <c r="V91" s="3"/>
    </row>
    <row r="92" spans="2:22" ht="21.75" customHeight="1">
      <c r="B92" s="416" t="s">
        <v>1484</v>
      </c>
      <c r="C92" s="389">
        <v>3021</v>
      </c>
      <c r="D92" s="402">
        <v>0</v>
      </c>
      <c r="E92" s="402">
        <v>0</v>
      </c>
      <c r="F92" s="402">
        <f t="shared" ref="F92:F99" si="13">G92</f>
        <v>0</v>
      </c>
      <c r="G92" s="403">
        <f t="shared" ref="G92:G97" si="14">H92+I92+J92+K92</f>
        <v>0</v>
      </c>
      <c r="H92" s="403">
        <f ca="1">Видатки!C29</f>
        <v>0</v>
      </c>
      <c r="I92" s="403">
        <f ca="1">Видатки!D29</f>
        <v>0</v>
      </c>
      <c r="J92" s="403">
        <f ca="1">Видатки!E29</f>
        <v>0</v>
      </c>
      <c r="K92" s="403">
        <f ca="1">Видатки!F29</f>
        <v>0</v>
      </c>
      <c r="L92" s="607">
        <f t="shared" si="8"/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T92" s="365">
        <f t="shared" si="9"/>
        <v>0</v>
      </c>
      <c r="V92" s="3"/>
    </row>
    <row r="93" spans="2:22" ht="21.75" customHeight="1">
      <c r="B93" s="416" t="s">
        <v>1485</v>
      </c>
      <c r="C93" s="415">
        <v>3022</v>
      </c>
      <c r="D93" s="402"/>
      <c r="E93" s="402">
        <v>2838200</v>
      </c>
      <c r="F93" s="402">
        <f t="shared" si="13"/>
        <v>0</v>
      </c>
      <c r="G93" s="403">
        <f>H93+I93+J93+K93</f>
        <v>0</v>
      </c>
      <c r="H93" s="403">
        <f ca="1">Видатки!C30</f>
        <v>0</v>
      </c>
      <c r="I93" s="403">
        <f ca="1">Видатки!D30</f>
        <v>0</v>
      </c>
      <c r="J93" s="403">
        <f ca="1">Видатки!E30</f>
        <v>0</v>
      </c>
      <c r="K93" s="403">
        <f ca="1">Видатки!F30</f>
        <v>0</v>
      </c>
      <c r="L93" s="607">
        <f t="shared" si="8"/>
        <v>-2297000</v>
      </c>
      <c r="M93" s="2">
        <v>2297000</v>
      </c>
      <c r="N93" s="2">
        <v>2297000</v>
      </c>
      <c r="O93" s="2">
        <v>497000</v>
      </c>
      <c r="P93" s="2">
        <v>1000000</v>
      </c>
      <c r="Q93" s="2">
        <v>800000</v>
      </c>
      <c r="R93" s="2">
        <v>0</v>
      </c>
      <c r="T93" s="365">
        <f t="shared" si="9"/>
        <v>-497000</v>
      </c>
      <c r="V93" s="3"/>
    </row>
    <row r="94" spans="2:22" ht="21.75" customHeight="1">
      <c r="B94" s="416" t="s">
        <v>1486</v>
      </c>
      <c r="C94" s="389">
        <v>3023</v>
      </c>
      <c r="D94" s="402"/>
      <c r="E94" s="402">
        <v>0</v>
      </c>
      <c r="F94" s="402">
        <f t="shared" si="13"/>
        <v>0</v>
      </c>
      <c r="G94" s="403">
        <f t="shared" si="14"/>
        <v>0</v>
      </c>
      <c r="H94" s="403">
        <f ca="1">Видатки!C31</f>
        <v>0</v>
      </c>
      <c r="I94" s="403">
        <f ca="1">Видатки!D31</f>
        <v>0</v>
      </c>
      <c r="J94" s="403">
        <f ca="1">Видатки!E31</f>
        <v>0</v>
      </c>
      <c r="K94" s="403">
        <f ca="1">Видатки!F31</f>
        <v>0</v>
      </c>
      <c r="L94" s="607">
        <f t="shared" si="8"/>
        <v>-200000</v>
      </c>
      <c r="M94" s="2">
        <v>200000</v>
      </c>
      <c r="N94" s="2">
        <v>200000</v>
      </c>
      <c r="O94" s="2">
        <v>40000</v>
      </c>
      <c r="P94" s="2">
        <v>80000</v>
      </c>
      <c r="Q94" s="2">
        <v>40000</v>
      </c>
      <c r="R94" s="2">
        <v>40000</v>
      </c>
      <c r="T94" s="365">
        <f t="shared" si="9"/>
        <v>-40000</v>
      </c>
      <c r="V94" s="3"/>
    </row>
    <row r="95" spans="2:22" ht="21.75" customHeight="1">
      <c r="B95" s="416" t="s">
        <v>1487</v>
      </c>
      <c r="C95" s="415">
        <v>3024</v>
      </c>
      <c r="D95" s="402"/>
      <c r="E95" s="402">
        <v>0</v>
      </c>
      <c r="F95" s="402">
        <f t="shared" si="13"/>
        <v>0</v>
      </c>
      <c r="G95" s="403">
        <f>H95+I95+J95+K95</f>
        <v>0</v>
      </c>
      <c r="H95" s="403">
        <f ca="1">Видатки!C32</f>
        <v>0</v>
      </c>
      <c r="I95" s="403">
        <f ca="1">Видатки!D32</f>
        <v>0</v>
      </c>
      <c r="J95" s="403">
        <f ca="1">Видатки!E32</f>
        <v>0</v>
      </c>
      <c r="K95" s="403">
        <f ca="1">Видатки!F32</f>
        <v>0</v>
      </c>
      <c r="L95" s="607">
        <f t="shared" si="8"/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T95" s="365">
        <f t="shared" si="9"/>
        <v>0</v>
      </c>
      <c r="V95" s="3"/>
    </row>
    <row r="96" spans="2:22" ht="21.75" customHeight="1">
      <c r="B96" s="416" t="s">
        <v>1488</v>
      </c>
      <c r="C96" s="389">
        <v>3025</v>
      </c>
      <c r="D96" s="402">
        <v>0</v>
      </c>
      <c r="E96" s="402">
        <v>0</v>
      </c>
      <c r="F96" s="402">
        <f t="shared" si="13"/>
        <v>0</v>
      </c>
      <c r="G96" s="403">
        <f>H96+I96+J96+K96</f>
        <v>0</v>
      </c>
      <c r="H96" s="403">
        <f ca="1">Видатки!C33</f>
        <v>0</v>
      </c>
      <c r="I96" s="403">
        <f ca="1">Видатки!D33</f>
        <v>0</v>
      </c>
      <c r="J96" s="403">
        <f ca="1">Видатки!E33</f>
        <v>0</v>
      </c>
      <c r="K96" s="403">
        <f ca="1">Видатки!F33</f>
        <v>0</v>
      </c>
      <c r="L96" s="607">
        <f t="shared" si="8"/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T96" s="365">
        <f t="shared" si="9"/>
        <v>0</v>
      </c>
      <c r="V96" s="3"/>
    </row>
    <row r="97" spans="2:22" ht="21.75" customHeight="1">
      <c r="B97" s="416" t="s">
        <v>1489</v>
      </c>
      <c r="C97" s="415">
        <v>3026</v>
      </c>
      <c r="D97" s="402">
        <v>0</v>
      </c>
      <c r="E97" s="402">
        <v>0</v>
      </c>
      <c r="F97" s="402">
        <f t="shared" si="13"/>
        <v>0</v>
      </c>
      <c r="G97" s="403">
        <f t="shared" si="14"/>
        <v>0</v>
      </c>
      <c r="H97" s="403">
        <f ca="1">Видатки!C34</f>
        <v>0</v>
      </c>
      <c r="I97" s="403">
        <f ca="1">Видатки!D34</f>
        <v>0</v>
      </c>
      <c r="J97" s="403">
        <f ca="1">Видатки!E34</f>
        <v>0</v>
      </c>
      <c r="K97" s="403">
        <f ca="1">Видатки!F34</f>
        <v>0</v>
      </c>
      <c r="L97" s="607">
        <f t="shared" si="8"/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T97" s="365">
        <f t="shared" si="9"/>
        <v>0</v>
      </c>
      <c r="V97" s="3"/>
    </row>
    <row r="98" spans="2:22" ht="21.75" customHeight="1">
      <c r="B98" s="386" t="s">
        <v>1548</v>
      </c>
      <c r="C98" s="384">
        <v>3030</v>
      </c>
      <c r="D98" s="402"/>
      <c r="E98" s="402">
        <v>0</v>
      </c>
      <c r="F98" s="402">
        <f t="shared" si="13"/>
        <v>0</v>
      </c>
      <c r="G98" s="403">
        <v>0</v>
      </c>
      <c r="H98" s="403">
        <v>0</v>
      </c>
      <c r="I98" s="403">
        <v>0</v>
      </c>
      <c r="J98" s="403">
        <v>0</v>
      </c>
      <c r="K98" s="403">
        <v>0</v>
      </c>
      <c r="L98" s="607">
        <f t="shared" si="8"/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T98" s="365">
        <f t="shared" si="9"/>
        <v>0</v>
      </c>
      <c r="V98" s="3"/>
    </row>
    <row r="99" spans="2:22" ht="21.75" customHeight="1">
      <c r="B99" s="386" t="s">
        <v>1352</v>
      </c>
      <c r="C99" s="384">
        <v>3040</v>
      </c>
      <c r="D99" s="402"/>
      <c r="E99" s="402">
        <v>1752251</v>
      </c>
      <c r="F99" s="402">
        <f t="shared" si="13"/>
        <v>3279066.5999999996</v>
      </c>
      <c r="G99" s="403">
        <f>H99+I99+J99+K99</f>
        <v>3279066.5999999996</v>
      </c>
      <c r="H99" s="403">
        <f ca="1">Видатки!C36</f>
        <v>819766.64999999991</v>
      </c>
      <c r="I99" s="403">
        <f ca="1">Видатки!D36</f>
        <v>819766.64999999991</v>
      </c>
      <c r="J99" s="403">
        <f ca="1">Видатки!E36</f>
        <v>819766.64999999991</v>
      </c>
      <c r="K99" s="403">
        <f ca="1">Видатки!F36</f>
        <v>819766.64999999991</v>
      </c>
      <c r="L99" s="607">
        <f t="shared" si="8"/>
        <v>1528315.9199999995</v>
      </c>
      <c r="M99" s="2">
        <v>1750750.6800000002</v>
      </c>
      <c r="N99" s="2">
        <v>1750750.6800000002</v>
      </c>
      <c r="O99" s="2">
        <v>437687.67000000004</v>
      </c>
      <c r="P99" s="2">
        <v>437687.67000000004</v>
      </c>
      <c r="Q99" s="2">
        <v>437687.67000000004</v>
      </c>
      <c r="R99" s="2">
        <v>437687.67000000004</v>
      </c>
      <c r="T99" s="365">
        <f t="shared" si="9"/>
        <v>382078.97999999986</v>
      </c>
      <c r="V99" s="3"/>
    </row>
    <row r="100" spans="2:22" ht="21.75" customHeight="1">
      <c r="B100" s="906"/>
      <c r="C100" s="906"/>
      <c r="D100" s="906"/>
      <c r="E100" s="906"/>
      <c r="F100" s="906"/>
      <c r="G100" s="906"/>
      <c r="H100" s="906"/>
      <c r="I100" s="906"/>
      <c r="J100" s="906"/>
      <c r="K100" s="906"/>
      <c r="L100" s="607">
        <f t="shared" si="8"/>
        <v>0</v>
      </c>
      <c r="T100" s="365">
        <f t="shared" si="9"/>
        <v>0</v>
      </c>
      <c r="V100" s="3"/>
    </row>
    <row r="101" spans="2:22" ht="21.75" customHeight="1">
      <c r="B101" s="912" t="s">
        <v>1534</v>
      </c>
      <c r="C101" s="912"/>
      <c r="D101" s="912"/>
      <c r="E101" s="912"/>
      <c r="F101" s="912"/>
      <c r="G101" s="912"/>
      <c r="H101" s="912"/>
      <c r="I101" s="912"/>
      <c r="J101" s="912"/>
      <c r="K101" s="912"/>
      <c r="L101" s="607">
        <f t="shared" si="8"/>
        <v>0</v>
      </c>
      <c r="T101" s="365">
        <f t="shared" si="9"/>
        <v>0</v>
      </c>
      <c r="V101" s="3"/>
    </row>
    <row r="102" spans="2:22" ht="21.75" customHeight="1">
      <c r="B102" s="386" t="s">
        <v>1490</v>
      </c>
      <c r="C102" s="384">
        <v>4010</v>
      </c>
      <c r="D102" s="403">
        <f t="shared" ref="D102:K102" si="15">D103+D104+D105</f>
        <v>0</v>
      </c>
      <c r="E102" s="403">
        <v>1200</v>
      </c>
      <c r="F102" s="403">
        <f t="shared" si="15"/>
        <v>1200</v>
      </c>
      <c r="G102" s="403">
        <f t="shared" si="15"/>
        <v>4800</v>
      </c>
      <c r="H102" s="403">
        <f t="shared" si="15"/>
        <v>1200</v>
      </c>
      <c r="I102" s="403">
        <f t="shared" si="15"/>
        <v>1200</v>
      </c>
      <c r="J102" s="403">
        <f t="shared" si="15"/>
        <v>1200</v>
      </c>
      <c r="K102" s="403">
        <f t="shared" si="15"/>
        <v>1200</v>
      </c>
      <c r="L102" s="607">
        <f t="shared" si="8"/>
        <v>3600</v>
      </c>
      <c r="M102" s="2">
        <v>1200</v>
      </c>
      <c r="N102" s="2">
        <v>1200</v>
      </c>
      <c r="O102" s="2">
        <v>300</v>
      </c>
      <c r="P102" s="2">
        <v>300</v>
      </c>
      <c r="Q102" s="2">
        <v>300</v>
      </c>
      <c r="R102" s="2">
        <v>300</v>
      </c>
      <c r="T102" s="365">
        <f t="shared" si="9"/>
        <v>900</v>
      </c>
      <c r="V102" s="3"/>
    </row>
    <row r="103" spans="2:22" ht="21.75" customHeight="1">
      <c r="B103" s="416" t="s">
        <v>1491</v>
      </c>
      <c r="C103" s="384">
        <v>4011</v>
      </c>
      <c r="D103" s="402">
        <v>0</v>
      </c>
      <c r="E103" s="408">
        <v>0</v>
      </c>
      <c r="F103" s="402">
        <f>G103</f>
        <v>0</v>
      </c>
      <c r="G103" s="403">
        <f t="shared" ref="G103:G111" si="16">H103+I103+J103+K103</f>
        <v>0</v>
      </c>
      <c r="H103" s="408"/>
      <c r="I103" s="408"/>
      <c r="J103" s="408"/>
      <c r="K103" s="408"/>
      <c r="L103" s="607">
        <f t="shared" ref="L103:L113" si="17">G103-M103</f>
        <v>0</v>
      </c>
      <c r="M103" s="2">
        <v>0</v>
      </c>
      <c r="N103" s="2">
        <v>0</v>
      </c>
      <c r="T103" s="365">
        <f t="shared" ref="T103:T134" si="18">H103-O103</f>
        <v>0</v>
      </c>
      <c r="V103" s="3"/>
    </row>
    <row r="104" spans="2:22" ht="21.75" customHeight="1">
      <c r="B104" s="416" t="s">
        <v>1492</v>
      </c>
      <c r="C104" s="384">
        <v>4012</v>
      </c>
      <c r="D104" s="402">
        <v>0</v>
      </c>
      <c r="E104" s="408">
        <v>0</v>
      </c>
      <c r="F104" s="402">
        <f>G104</f>
        <v>0</v>
      </c>
      <c r="G104" s="403">
        <f t="shared" si="16"/>
        <v>0</v>
      </c>
      <c r="H104" s="408"/>
      <c r="I104" s="408"/>
      <c r="J104" s="408"/>
      <c r="K104" s="408"/>
      <c r="L104" s="607">
        <f t="shared" si="17"/>
        <v>0</v>
      </c>
      <c r="M104" s="2">
        <v>0</v>
      </c>
      <c r="N104" s="2">
        <v>0</v>
      </c>
      <c r="T104" s="365">
        <f t="shared" si="18"/>
        <v>0</v>
      </c>
      <c r="V104" s="3"/>
    </row>
    <row r="105" spans="2:22" ht="21.75" customHeight="1">
      <c r="B105" s="416" t="s">
        <v>1493</v>
      </c>
      <c r="C105" s="384">
        <v>4013</v>
      </c>
      <c r="D105" s="403">
        <f>D49</f>
        <v>0</v>
      </c>
      <c r="E105" s="403">
        <v>1200</v>
      </c>
      <c r="F105" s="403">
        <f>F49</f>
        <v>1200</v>
      </c>
      <c r="G105" s="403">
        <f t="shared" si="16"/>
        <v>4800</v>
      </c>
      <c r="H105" s="403">
        <f>H49</f>
        <v>1200</v>
      </c>
      <c r="I105" s="403">
        <f>I49</f>
        <v>1200</v>
      </c>
      <c r="J105" s="403">
        <f>J49</f>
        <v>1200</v>
      </c>
      <c r="K105" s="403">
        <f>K49</f>
        <v>1200</v>
      </c>
      <c r="L105" s="607">
        <f t="shared" si="17"/>
        <v>3600</v>
      </c>
      <c r="M105" s="2">
        <v>1200</v>
      </c>
      <c r="N105" s="2">
        <v>1200</v>
      </c>
      <c r="O105" s="2">
        <v>300</v>
      </c>
      <c r="P105" s="2">
        <v>300</v>
      </c>
      <c r="Q105" s="2">
        <v>300</v>
      </c>
      <c r="R105" s="2">
        <v>300</v>
      </c>
      <c r="T105" s="365">
        <f t="shared" si="18"/>
        <v>900</v>
      </c>
      <c r="V105" s="3"/>
    </row>
    <row r="106" spans="2:22" ht="21.75" customHeight="1">
      <c r="B106" s="386" t="s">
        <v>1494</v>
      </c>
      <c r="C106" s="384">
        <v>4020</v>
      </c>
      <c r="D106" s="402">
        <v>0</v>
      </c>
      <c r="E106" s="402">
        <v>0</v>
      </c>
      <c r="F106" s="402">
        <f>G106</f>
        <v>0</v>
      </c>
      <c r="G106" s="403">
        <f t="shared" si="16"/>
        <v>0</v>
      </c>
      <c r="H106" s="408"/>
      <c r="I106" s="408"/>
      <c r="J106" s="408"/>
      <c r="K106" s="408"/>
      <c r="L106" s="607">
        <f t="shared" si="17"/>
        <v>0</v>
      </c>
      <c r="M106" s="2">
        <v>0</v>
      </c>
      <c r="N106" s="2">
        <v>0</v>
      </c>
      <c r="T106" s="365">
        <f t="shared" si="18"/>
        <v>0</v>
      </c>
      <c r="V106" s="3"/>
    </row>
    <row r="107" spans="2:22" ht="21.75" customHeight="1">
      <c r="B107" s="386" t="s">
        <v>1495</v>
      </c>
      <c r="C107" s="384">
        <v>4030</v>
      </c>
      <c r="D107" s="403">
        <f>D108+D109+D110</f>
        <v>0</v>
      </c>
      <c r="E107" s="403">
        <f>E108+E109+E110</f>
        <v>0</v>
      </c>
      <c r="F107" s="403">
        <f>F108+F109+F110</f>
        <v>0</v>
      </c>
      <c r="G107" s="403">
        <f t="shared" si="16"/>
        <v>0</v>
      </c>
      <c r="H107" s="412"/>
      <c r="I107" s="412"/>
      <c r="J107" s="412"/>
      <c r="K107" s="412"/>
      <c r="L107" s="607">
        <f t="shared" si="17"/>
        <v>0</v>
      </c>
      <c r="M107" s="2">
        <v>0</v>
      </c>
      <c r="N107" s="2">
        <v>0</v>
      </c>
      <c r="T107" s="365">
        <f t="shared" si="18"/>
        <v>0</v>
      </c>
      <c r="V107" s="3"/>
    </row>
    <row r="108" spans="2:22" ht="21.75" customHeight="1">
      <c r="B108" s="416" t="s">
        <v>1491</v>
      </c>
      <c r="C108" s="384">
        <v>4031</v>
      </c>
      <c r="D108" s="402">
        <v>0</v>
      </c>
      <c r="E108" s="402">
        <v>0</v>
      </c>
      <c r="F108" s="402">
        <f>G108</f>
        <v>0</v>
      </c>
      <c r="G108" s="403">
        <f t="shared" si="16"/>
        <v>0</v>
      </c>
      <c r="H108" s="408"/>
      <c r="I108" s="408"/>
      <c r="J108" s="408"/>
      <c r="K108" s="408"/>
      <c r="L108" s="607">
        <f t="shared" si="17"/>
        <v>0</v>
      </c>
      <c r="M108" s="2">
        <v>0</v>
      </c>
      <c r="N108" s="2">
        <v>0</v>
      </c>
      <c r="T108" s="365">
        <f t="shared" si="18"/>
        <v>0</v>
      </c>
      <c r="V108" s="3"/>
    </row>
    <row r="109" spans="2:22" ht="21.75" customHeight="1">
      <c r="B109" s="416" t="s">
        <v>1492</v>
      </c>
      <c r="C109" s="384">
        <v>4032</v>
      </c>
      <c r="D109" s="402">
        <v>0</v>
      </c>
      <c r="E109" s="402">
        <v>0</v>
      </c>
      <c r="F109" s="402">
        <f>G109</f>
        <v>0</v>
      </c>
      <c r="G109" s="403">
        <f t="shared" si="16"/>
        <v>0</v>
      </c>
      <c r="H109" s="408"/>
      <c r="I109" s="408"/>
      <c r="J109" s="408"/>
      <c r="K109" s="408"/>
      <c r="L109" s="607">
        <f t="shared" si="17"/>
        <v>0</v>
      </c>
      <c r="M109" s="2">
        <v>0</v>
      </c>
      <c r="N109" s="2">
        <v>0</v>
      </c>
      <c r="T109" s="365">
        <f t="shared" si="18"/>
        <v>0</v>
      </c>
      <c r="V109" s="3"/>
    </row>
    <row r="110" spans="2:22" ht="21.75" customHeight="1">
      <c r="B110" s="416" t="s">
        <v>1493</v>
      </c>
      <c r="C110" s="384">
        <v>4033</v>
      </c>
      <c r="D110" s="402">
        <v>0</v>
      </c>
      <c r="E110" s="402">
        <v>0</v>
      </c>
      <c r="F110" s="402">
        <f>G110</f>
        <v>0</v>
      </c>
      <c r="G110" s="403">
        <f t="shared" si="16"/>
        <v>0</v>
      </c>
      <c r="H110" s="408"/>
      <c r="I110" s="408"/>
      <c r="J110" s="408"/>
      <c r="K110" s="408"/>
      <c r="L110" s="607">
        <f t="shared" si="17"/>
        <v>0</v>
      </c>
      <c r="M110" s="2">
        <v>0</v>
      </c>
      <c r="N110" s="2">
        <v>0</v>
      </c>
      <c r="T110" s="365">
        <f t="shared" si="18"/>
        <v>0</v>
      </c>
      <c r="V110" s="3"/>
    </row>
    <row r="111" spans="2:22" ht="21.75" customHeight="1">
      <c r="B111" s="386" t="s">
        <v>1496</v>
      </c>
      <c r="C111" s="384">
        <v>4040</v>
      </c>
      <c r="D111" s="402">
        <v>0</v>
      </c>
      <c r="E111" s="402">
        <v>0</v>
      </c>
      <c r="F111" s="402">
        <f>G111</f>
        <v>0</v>
      </c>
      <c r="G111" s="403">
        <f t="shared" si="16"/>
        <v>0</v>
      </c>
      <c r="H111" s="408"/>
      <c r="I111" s="408"/>
      <c r="J111" s="408"/>
      <c r="K111" s="408"/>
      <c r="L111" s="607">
        <f t="shared" si="17"/>
        <v>0</v>
      </c>
      <c r="M111" s="2">
        <v>0</v>
      </c>
      <c r="N111" s="2">
        <v>0</v>
      </c>
      <c r="T111" s="365">
        <f t="shared" si="18"/>
        <v>0</v>
      </c>
      <c r="V111" s="3"/>
    </row>
    <row r="112" spans="2:22" s="4" customFormat="1" ht="21.75" customHeight="1">
      <c r="B112" s="913"/>
      <c r="C112" s="913"/>
      <c r="D112" s="913"/>
      <c r="E112" s="913"/>
      <c r="F112" s="913"/>
      <c r="G112" s="913"/>
      <c r="H112" s="913"/>
      <c r="I112" s="913"/>
      <c r="J112" s="913"/>
      <c r="K112" s="913"/>
      <c r="L112" s="607">
        <f t="shared" si="17"/>
        <v>0</v>
      </c>
      <c r="T112" s="365">
        <f t="shared" si="18"/>
        <v>0</v>
      </c>
      <c r="V112" s="3"/>
    </row>
    <row r="113" spans="2:22" s="4" customFormat="1" ht="21.75" customHeight="1">
      <c r="B113" s="912" t="s">
        <v>1497</v>
      </c>
      <c r="C113" s="912"/>
      <c r="D113" s="912"/>
      <c r="E113" s="912"/>
      <c r="F113" s="912"/>
      <c r="G113" s="912"/>
      <c r="H113" s="912"/>
      <c r="I113" s="912"/>
      <c r="J113" s="912"/>
      <c r="K113" s="912"/>
      <c r="L113" s="607">
        <f t="shared" si="17"/>
        <v>0</v>
      </c>
      <c r="T113" s="365">
        <f t="shared" si="18"/>
        <v>0</v>
      </c>
      <c r="V113" s="3"/>
    </row>
    <row r="114" spans="2:22" s="4" customFormat="1" ht="21.75" customHeight="1">
      <c r="B114" s="386" t="s">
        <v>1498</v>
      </c>
      <c r="C114" s="384">
        <v>5010</v>
      </c>
      <c r="D114" s="389" t="s">
        <v>1518</v>
      </c>
      <c r="E114" s="389" t="s">
        <v>1518</v>
      </c>
      <c r="F114" s="389" t="s">
        <v>1518</v>
      </c>
      <c r="G114" s="389" t="s">
        <v>1518</v>
      </c>
      <c r="H114" s="389" t="s">
        <v>1518</v>
      </c>
      <c r="I114" s="389" t="s">
        <v>1518</v>
      </c>
      <c r="J114" s="389" t="s">
        <v>1518</v>
      </c>
      <c r="K114" s="389" t="s">
        <v>1518</v>
      </c>
      <c r="L114" s="607"/>
      <c r="M114" s="4" t="s">
        <v>1518</v>
      </c>
      <c r="N114" s="4" t="s">
        <v>1518</v>
      </c>
      <c r="O114" s="4" t="s">
        <v>1518</v>
      </c>
      <c r="P114" s="4" t="s">
        <v>1518</v>
      </c>
      <c r="Q114" s="4" t="s">
        <v>1518</v>
      </c>
      <c r="R114" s="4" t="s">
        <v>1518</v>
      </c>
      <c r="T114" s="365" t="e">
        <f t="shared" si="18"/>
        <v>#VALUE!</v>
      </c>
      <c r="V114" s="3"/>
    </row>
    <row r="115" spans="2:22" s="4" customFormat="1" ht="21.75" customHeight="1">
      <c r="B115" s="386" t="s">
        <v>1499</v>
      </c>
      <c r="C115" s="384">
        <v>5020</v>
      </c>
      <c r="D115" s="389" t="s">
        <v>1518</v>
      </c>
      <c r="E115" s="389" t="s">
        <v>1518</v>
      </c>
      <c r="F115" s="389" t="s">
        <v>1518</v>
      </c>
      <c r="G115" s="389" t="s">
        <v>1518</v>
      </c>
      <c r="H115" s="389" t="s">
        <v>1518</v>
      </c>
      <c r="I115" s="389" t="s">
        <v>1518</v>
      </c>
      <c r="J115" s="389" t="s">
        <v>1518</v>
      </c>
      <c r="K115" s="389" t="s">
        <v>1518</v>
      </c>
      <c r="L115" s="607"/>
      <c r="M115" s="4" t="s">
        <v>1518</v>
      </c>
      <c r="N115" s="4" t="s">
        <v>1518</v>
      </c>
      <c r="O115" s="4" t="s">
        <v>1518</v>
      </c>
      <c r="P115" s="4" t="s">
        <v>1518</v>
      </c>
      <c r="Q115" s="4" t="s">
        <v>1518</v>
      </c>
      <c r="R115" s="4" t="s">
        <v>1518</v>
      </c>
      <c r="T115" s="365" t="e">
        <f t="shared" si="18"/>
        <v>#VALUE!</v>
      </c>
      <c r="V115" s="3"/>
    </row>
    <row r="116" spans="2:22" s="4" customFormat="1" ht="21.75" customHeight="1">
      <c r="B116" s="889" t="s">
        <v>1556</v>
      </c>
      <c r="C116" s="384">
        <v>5030</v>
      </c>
      <c r="D116" s="389" t="s">
        <v>1518</v>
      </c>
      <c r="E116" s="389" t="s">
        <v>1518</v>
      </c>
      <c r="F116" s="389" t="s">
        <v>1518</v>
      </c>
      <c r="G116" s="389" t="s">
        <v>1518</v>
      </c>
      <c r="H116" s="389" t="s">
        <v>1518</v>
      </c>
      <c r="I116" s="389" t="s">
        <v>1518</v>
      </c>
      <c r="J116" s="389" t="s">
        <v>1518</v>
      </c>
      <c r="K116" s="389" t="s">
        <v>1518</v>
      </c>
      <c r="L116" s="607"/>
      <c r="M116" s="4" t="s">
        <v>1518</v>
      </c>
      <c r="N116" s="4" t="s">
        <v>1518</v>
      </c>
      <c r="O116" s="4" t="s">
        <v>1518</v>
      </c>
      <c r="P116" s="4" t="s">
        <v>1518</v>
      </c>
      <c r="Q116" s="4" t="s">
        <v>1518</v>
      </c>
      <c r="R116" s="4" t="s">
        <v>1518</v>
      </c>
      <c r="T116" s="365" t="e">
        <f t="shared" si="18"/>
        <v>#VALUE!</v>
      </c>
      <c r="V116" s="3"/>
    </row>
    <row r="117" spans="2:22" s="4" customFormat="1" ht="21.75" customHeight="1">
      <c r="B117" s="386" t="s">
        <v>1500</v>
      </c>
      <c r="C117" s="384">
        <v>5040</v>
      </c>
      <c r="D117" s="389" t="s">
        <v>1518</v>
      </c>
      <c r="E117" s="389" t="s">
        <v>1518</v>
      </c>
      <c r="F117" s="389" t="s">
        <v>1518</v>
      </c>
      <c r="G117" s="389" t="s">
        <v>1518</v>
      </c>
      <c r="H117" s="389" t="s">
        <v>1518</v>
      </c>
      <c r="I117" s="389" t="s">
        <v>1518</v>
      </c>
      <c r="J117" s="389" t="s">
        <v>1518</v>
      </c>
      <c r="K117" s="389" t="s">
        <v>1518</v>
      </c>
      <c r="L117" s="607"/>
      <c r="M117" s="4" t="s">
        <v>1518</v>
      </c>
      <c r="N117" s="4" t="s">
        <v>1518</v>
      </c>
      <c r="O117" s="4" t="s">
        <v>1518</v>
      </c>
      <c r="P117" s="4" t="s">
        <v>1518</v>
      </c>
      <c r="Q117" s="4" t="s">
        <v>1518</v>
      </c>
      <c r="R117" s="4" t="s">
        <v>1518</v>
      </c>
      <c r="T117" s="365" t="e">
        <f t="shared" si="18"/>
        <v>#VALUE!</v>
      </c>
      <c r="V117" s="3"/>
    </row>
    <row r="118" spans="2:22" s="4" customFormat="1" ht="21.75" customHeight="1">
      <c r="B118" s="907"/>
      <c r="C118" s="907"/>
      <c r="D118" s="907"/>
      <c r="E118" s="907"/>
      <c r="F118" s="907"/>
      <c r="G118" s="907"/>
      <c r="H118" s="907"/>
      <c r="I118" s="907"/>
      <c r="J118" s="907"/>
      <c r="K118" s="907"/>
      <c r="L118" s="607"/>
      <c r="T118" s="365">
        <f t="shared" si="18"/>
        <v>0</v>
      </c>
      <c r="V118" s="3"/>
    </row>
    <row r="119" spans="2:22" s="4" customFormat="1" ht="21.75" customHeight="1">
      <c r="B119" s="912" t="s">
        <v>1501</v>
      </c>
      <c r="C119" s="912"/>
      <c r="D119" s="912"/>
      <c r="E119" s="912"/>
      <c r="F119" s="912"/>
      <c r="G119" s="912"/>
      <c r="H119" s="912"/>
      <c r="I119" s="912"/>
      <c r="J119" s="912"/>
      <c r="K119" s="912"/>
      <c r="L119" s="607"/>
      <c r="T119" s="365">
        <f t="shared" si="18"/>
        <v>0</v>
      </c>
      <c r="V119" s="3"/>
    </row>
    <row r="120" spans="2:22" s="4" customFormat="1" ht="21.75" customHeight="1">
      <c r="B120" s="386" t="s">
        <v>1558</v>
      </c>
      <c r="C120" s="389">
        <v>6010</v>
      </c>
      <c r="D120" s="389" t="s">
        <v>1518</v>
      </c>
      <c r="E120" s="389" t="s">
        <v>1518</v>
      </c>
      <c r="F120" s="389" t="s">
        <v>1518</v>
      </c>
      <c r="G120" s="389" t="s">
        <v>1518</v>
      </c>
      <c r="H120" s="389" t="s">
        <v>1518</v>
      </c>
      <c r="I120" s="389" t="s">
        <v>1518</v>
      </c>
      <c r="J120" s="389" t="s">
        <v>1518</v>
      </c>
      <c r="K120" s="389" t="s">
        <v>1518</v>
      </c>
      <c r="L120" s="607"/>
      <c r="M120" s="4" t="s">
        <v>1518</v>
      </c>
      <c r="N120" s="4" t="s">
        <v>1518</v>
      </c>
      <c r="O120" s="4" t="s">
        <v>1518</v>
      </c>
      <c r="P120" s="4" t="s">
        <v>1518</v>
      </c>
      <c r="Q120" s="4" t="s">
        <v>1518</v>
      </c>
      <c r="R120" s="4" t="s">
        <v>1518</v>
      </c>
      <c r="T120" s="365" t="e">
        <f t="shared" si="18"/>
        <v>#VALUE!</v>
      </c>
      <c r="V120" s="3"/>
    </row>
    <row r="121" spans="2:22" s="4" customFormat="1" ht="21.75" customHeight="1">
      <c r="B121" s="386" t="s">
        <v>1559</v>
      </c>
      <c r="C121" s="389">
        <v>6020</v>
      </c>
      <c r="D121" s="389" t="s">
        <v>1518</v>
      </c>
      <c r="E121" s="389" t="s">
        <v>1518</v>
      </c>
      <c r="F121" s="389" t="s">
        <v>1518</v>
      </c>
      <c r="G121" s="389" t="s">
        <v>1518</v>
      </c>
      <c r="H121" s="389" t="s">
        <v>1518</v>
      </c>
      <c r="I121" s="389" t="s">
        <v>1518</v>
      </c>
      <c r="J121" s="389" t="s">
        <v>1518</v>
      </c>
      <c r="K121" s="389" t="s">
        <v>1518</v>
      </c>
      <c r="L121" s="607"/>
      <c r="M121" s="4" t="s">
        <v>1518</v>
      </c>
      <c r="N121" s="4" t="s">
        <v>1518</v>
      </c>
      <c r="O121" s="4" t="s">
        <v>1518</v>
      </c>
      <c r="P121" s="4" t="s">
        <v>1518</v>
      </c>
      <c r="Q121" s="4" t="s">
        <v>1518</v>
      </c>
      <c r="R121" s="4" t="s">
        <v>1518</v>
      </c>
      <c r="T121" s="365" t="e">
        <f t="shared" si="18"/>
        <v>#VALUE!</v>
      </c>
      <c r="V121" s="3"/>
    </row>
    <row r="122" spans="2:22" s="4" customFormat="1" ht="21.75" customHeight="1">
      <c r="B122" s="386" t="s">
        <v>1502</v>
      </c>
      <c r="C122" s="389">
        <v>6030</v>
      </c>
      <c r="D122" s="389" t="s">
        <v>1518</v>
      </c>
      <c r="E122" s="389" t="s">
        <v>1518</v>
      </c>
      <c r="F122" s="389" t="s">
        <v>1518</v>
      </c>
      <c r="G122" s="389" t="s">
        <v>1518</v>
      </c>
      <c r="H122" s="389" t="s">
        <v>1518</v>
      </c>
      <c r="I122" s="389" t="s">
        <v>1518</v>
      </c>
      <c r="J122" s="389" t="s">
        <v>1518</v>
      </c>
      <c r="K122" s="389" t="s">
        <v>1518</v>
      </c>
      <c r="L122" s="607"/>
      <c r="M122" s="4" t="s">
        <v>1518</v>
      </c>
      <c r="N122" s="4" t="s">
        <v>1518</v>
      </c>
      <c r="O122" s="4" t="s">
        <v>1518</v>
      </c>
      <c r="P122" s="4" t="s">
        <v>1518</v>
      </c>
      <c r="Q122" s="4" t="s">
        <v>1518</v>
      </c>
      <c r="R122" s="4" t="s">
        <v>1518</v>
      </c>
      <c r="T122" s="365" t="e">
        <f t="shared" si="18"/>
        <v>#VALUE!</v>
      </c>
      <c r="V122" s="3"/>
    </row>
    <row r="123" spans="2:22" s="4" customFormat="1" ht="21.75" customHeight="1">
      <c r="B123" s="386" t="s">
        <v>1503</v>
      </c>
      <c r="C123" s="389">
        <v>6040</v>
      </c>
      <c r="D123" s="389" t="s">
        <v>1518</v>
      </c>
      <c r="E123" s="389" t="s">
        <v>1518</v>
      </c>
      <c r="F123" s="389" t="s">
        <v>1518</v>
      </c>
      <c r="G123" s="389" t="s">
        <v>1518</v>
      </c>
      <c r="H123" s="389" t="s">
        <v>1518</v>
      </c>
      <c r="I123" s="389" t="s">
        <v>1518</v>
      </c>
      <c r="J123" s="389" t="s">
        <v>1518</v>
      </c>
      <c r="K123" s="389" t="s">
        <v>1518</v>
      </c>
      <c r="L123" s="607"/>
      <c r="M123" s="4" t="s">
        <v>1518</v>
      </c>
      <c r="N123" s="4" t="s">
        <v>1518</v>
      </c>
      <c r="O123" s="4" t="s">
        <v>1518</v>
      </c>
      <c r="P123" s="4" t="s">
        <v>1518</v>
      </c>
      <c r="Q123" s="4" t="s">
        <v>1518</v>
      </c>
      <c r="R123" s="4" t="s">
        <v>1518</v>
      </c>
      <c r="T123" s="365" t="e">
        <f t="shared" si="18"/>
        <v>#VALUE!</v>
      </c>
      <c r="V123" s="3"/>
    </row>
    <row r="124" spans="2:22" s="4" customFormat="1" ht="21.75" customHeight="1">
      <c r="B124" s="386" t="s">
        <v>1504</v>
      </c>
      <c r="C124" s="389">
        <v>6050</v>
      </c>
      <c r="D124" s="389" t="s">
        <v>1518</v>
      </c>
      <c r="E124" s="389" t="s">
        <v>1518</v>
      </c>
      <c r="F124" s="389" t="s">
        <v>1518</v>
      </c>
      <c r="G124" s="389" t="s">
        <v>1518</v>
      </c>
      <c r="H124" s="389" t="s">
        <v>1518</v>
      </c>
      <c r="I124" s="389" t="s">
        <v>1518</v>
      </c>
      <c r="J124" s="389" t="s">
        <v>1518</v>
      </c>
      <c r="K124" s="389" t="s">
        <v>1518</v>
      </c>
      <c r="L124" s="607"/>
      <c r="M124" s="4" t="s">
        <v>1518</v>
      </c>
      <c r="N124" s="4" t="s">
        <v>1518</v>
      </c>
      <c r="O124" s="4" t="s">
        <v>1518</v>
      </c>
      <c r="P124" s="4" t="s">
        <v>1518</v>
      </c>
      <c r="Q124" s="4" t="s">
        <v>1518</v>
      </c>
      <c r="R124" s="4" t="s">
        <v>1518</v>
      </c>
      <c r="T124" s="365" t="e">
        <f t="shared" si="18"/>
        <v>#VALUE!</v>
      </c>
      <c r="V124" s="3"/>
    </row>
    <row r="125" spans="2:22" s="4" customFormat="1" ht="21.75" customHeight="1">
      <c r="B125" s="906"/>
      <c r="C125" s="906"/>
      <c r="D125" s="906"/>
      <c r="E125" s="906"/>
      <c r="F125" s="906"/>
      <c r="G125" s="906"/>
      <c r="H125" s="906"/>
      <c r="I125" s="906"/>
      <c r="J125" s="906"/>
      <c r="K125" s="906"/>
      <c r="L125" s="607">
        <f t="shared" ref="L125:L140" si="19">G125-M125</f>
        <v>0</v>
      </c>
      <c r="T125" s="365">
        <f t="shared" si="18"/>
        <v>0</v>
      </c>
      <c r="V125" s="3"/>
    </row>
    <row r="126" spans="2:22" ht="21.75" customHeight="1">
      <c r="B126" s="912" t="s">
        <v>1505</v>
      </c>
      <c r="C126" s="912"/>
      <c r="D126" s="912"/>
      <c r="E126" s="912"/>
      <c r="F126" s="912"/>
      <c r="G126" s="912"/>
      <c r="H126" s="912"/>
      <c r="I126" s="912"/>
      <c r="J126" s="912"/>
      <c r="K126" s="912"/>
      <c r="L126" s="607">
        <f t="shared" si="19"/>
        <v>0</v>
      </c>
      <c r="T126" s="365">
        <f t="shared" si="18"/>
        <v>0</v>
      </c>
      <c r="V126" s="3"/>
    </row>
    <row r="127" spans="2:22" ht="50.1" customHeight="1">
      <c r="B127" s="386" t="s">
        <v>1506</v>
      </c>
      <c r="C127" s="417">
        <v>7010</v>
      </c>
      <c r="D127" s="403">
        <f>SUM(D128:D133)</f>
        <v>0</v>
      </c>
      <c r="E127" s="418">
        <f>SUM(E128:E133)</f>
        <v>240.25</v>
      </c>
      <c r="F127" s="401">
        <f>G127</f>
        <v>250.5</v>
      </c>
      <c r="G127" s="418">
        <f>SUM(G128:G133)</f>
        <v>250.5</v>
      </c>
      <c r="H127" s="418">
        <f>SUM(H128:H133)</f>
        <v>250.5</v>
      </c>
      <c r="I127" s="418">
        <f>SUM(I128:I133)</f>
        <v>250.5</v>
      </c>
      <c r="J127" s="418">
        <f>SUM(J128:J133)</f>
        <v>250.5</v>
      </c>
      <c r="K127" s="418">
        <f>SUM(K128:K133)</f>
        <v>250.5</v>
      </c>
      <c r="L127" s="607">
        <f t="shared" si="19"/>
        <v>9.25</v>
      </c>
      <c r="M127" s="2">
        <v>241.25</v>
      </c>
      <c r="N127" s="2">
        <v>241.25</v>
      </c>
      <c r="O127" s="2">
        <v>241.25</v>
      </c>
      <c r="P127" s="2">
        <v>241.25</v>
      </c>
      <c r="Q127" s="2">
        <v>241.25</v>
      </c>
      <c r="R127" s="2">
        <v>241.25</v>
      </c>
      <c r="T127" s="365">
        <f t="shared" si="18"/>
        <v>9.25</v>
      </c>
      <c r="V127" s="3"/>
    </row>
    <row r="128" spans="2:22" ht="21.75" customHeight="1">
      <c r="B128" s="416" t="s">
        <v>1541</v>
      </c>
      <c r="C128" s="417">
        <v>7011</v>
      </c>
      <c r="D128" s="402"/>
      <c r="E128" s="401">
        <v>3</v>
      </c>
      <c r="F128" s="401">
        <f t="shared" ref="F128:F140" si="20">G128</f>
        <v>3</v>
      </c>
      <c r="G128" s="418">
        <f ca="1">ФОП!A4</f>
        <v>3</v>
      </c>
      <c r="H128" s="418">
        <f t="shared" ref="H128:H133" si="21">G128</f>
        <v>3</v>
      </c>
      <c r="I128" s="418">
        <f t="shared" ref="I128:K133" si="22">H128</f>
        <v>3</v>
      </c>
      <c r="J128" s="418">
        <f t="shared" si="22"/>
        <v>3</v>
      </c>
      <c r="K128" s="418">
        <f t="shared" si="22"/>
        <v>3</v>
      </c>
      <c r="L128" s="607">
        <f t="shared" si="19"/>
        <v>-1</v>
      </c>
      <c r="M128" s="2">
        <v>4</v>
      </c>
      <c r="N128" s="2">
        <v>4</v>
      </c>
      <c r="O128" s="2">
        <v>4</v>
      </c>
      <c r="P128" s="2">
        <v>4</v>
      </c>
      <c r="Q128" s="2">
        <v>4</v>
      </c>
      <c r="R128" s="2">
        <v>4</v>
      </c>
      <c r="T128" s="365">
        <f t="shared" si="18"/>
        <v>-1</v>
      </c>
      <c r="V128" s="3"/>
    </row>
    <row r="129" spans="2:22" ht="21.75" customHeight="1">
      <c r="B129" s="416" t="s">
        <v>1427</v>
      </c>
      <c r="C129" s="417">
        <v>7012</v>
      </c>
      <c r="D129" s="402"/>
      <c r="E129" s="401">
        <v>41.25</v>
      </c>
      <c r="F129" s="401">
        <f t="shared" si="20"/>
        <v>46.5</v>
      </c>
      <c r="G129" s="418">
        <f ca="1">ФОП!A13</f>
        <v>46.5</v>
      </c>
      <c r="H129" s="418">
        <f t="shared" si="21"/>
        <v>46.5</v>
      </c>
      <c r="I129" s="418">
        <f t="shared" si="22"/>
        <v>46.5</v>
      </c>
      <c r="J129" s="418">
        <f t="shared" si="22"/>
        <v>46.5</v>
      </c>
      <c r="K129" s="418">
        <f t="shared" si="22"/>
        <v>46.5</v>
      </c>
      <c r="L129" s="607">
        <f t="shared" si="19"/>
        <v>5.75</v>
      </c>
      <c r="M129" s="2">
        <v>40.75</v>
      </c>
      <c r="N129" s="2">
        <v>40.75</v>
      </c>
      <c r="O129" s="2">
        <v>40.75</v>
      </c>
      <c r="P129" s="2">
        <v>40.75</v>
      </c>
      <c r="Q129" s="2">
        <v>40.75</v>
      </c>
      <c r="R129" s="2">
        <v>40.75</v>
      </c>
      <c r="T129" s="365">
        <f t="shared" si="18"/>
        <v>5.75</v>
      </c>
      <c r="V129" s="3"/>
    </row>
    <row r="130" spans="2:22" ht="21.75" customHeight="1">
      <c r="B130" s="416" t="s">
        <v>1508</v>
      </c>
      <c r="C130" s="417">
        <v>7013</v>
      </c>
      <c r="D130" s="402"/>
      <c r="E130" s="401">
        <v>97.5</v>
      </c>
      <c r="F130" s="401">
        <f t="shared" si="20"/>
        <v>96.5</v>
      </c>
      <c r="G130" s="418">
        <f ca="1">ФОП!A17</f>
        <v>96.5</v>
      </c>
      <c r="H130" s="418">
        <f t="shared" si="21"/>
        <v>96.5</v>
      </c>
      <c r="I130" s="418">
        <f t="shared" si="22"/>
        <v>96.5</v>
      </c>
      <c r="J130" s="418">
        <f t="shared" si="22"/>
        <v>96.5</v>
      </c>
      <c r="K130" s="418">
        <f t="shared" si="22"/>
        <v>96.5</v>
      </c>
      <c r="L130" s="607">
        <f t="shared" si="19"/>
        <v>-1.5</v>
      </c>
      <c r="M130" s="2">
        <v>98</v>
      </c>
      <c r="N130" s="2">
        <v>98</v>
      </c>
      <c r="O130" s="2">
        <v>98</v>
      </c>
      <c r="P130" s="2">
        <v>98</v>
      </c>
      <c r="Q130" s="2">
        <v>98</v>
      </c>
      <c r="R130" s="2">
        <v>98</v>
      </c>
      <c r="T130" s="365">
        <f t="shared" si="18"/>
        <v>-1.5</v>
      </c>
      <c r="V130" s="3"/>
    </row>
    <row r="131" spans="2:22" ht="21.75" customHeight="1">
      <c r="B131" s="416" t="s">
        <v>1509</v>
      </c>
      <c r="C131" s="417">
        <v>7014</v>
      </c>
      <c r="D131" s="402"/>
      <c r="E131" s="401">
        <v>43</v>
      </c>
      <c r="F131" s="401">
        <f t="shared" si="20"/>
        <v>45</v>
      </c>
      <c r="G131" s="418">
        <f ca="1">ФОП!A21</f>
        <v>45</v>
      </c>
      <c r="H131" s="418">
        <f t="shared" si="21"/>
        <v>45</v>
      </c>
      <c r="I131" s="418">
        <f t="shared" si="22"/>
        <v>45</v>
      </c>
      <c r="J131" s="418">
        <f t="shared" si="22"/>
        <v>45</v>
      </c>
      <c r="K131" s="418">
        <f t="shared" si="22"/>
        <v>45</v>
      </c>
      <c r="L131" s="607">
        <f t="shared" si="19"/>
        <v>2</v>
      </c>
      <c r="M131" s="2">
        <v>43</v>
      </c>
      <c r="N131" s="2">
        <v>43</v>
      </c>
      <c r="O131" s="2">
        <v>43</v>
      </c>
      <c r="P131" s="2">
        <v>43</v>
      </c>
      <c r="Q131" s="2">
        <v>43</v>
      </c>
      <c r="R131" s="2">
        <v>43</v>
      </c>
      <c r="T131" s="365">
        <f t="shared" si="18"/>
        <v>2</v>
      </c>
      <c r="V131" s="3"/>
    </row>
    <row r="132" spans="2:22" ht="21.75" customHeight="1">
      <c r="B132" s="416" t="s">
        <v>1507</v>
      </c>
      <c r="C132" s="417">
        <v>7015</v>
      </c>
      <c r="D132" s="402"/>
      <c r="E132" s="401">
        <v>13</v>
      </c>
      <c r="F132" s="401">
        <f t="shared" si="20"/>
        <v>13</v>
      </c>
      <c r="G132" s="418">
        <f ca="1">ФОП!A8</f>
        <v>13</v>
      </c>
      <c r="H132" s="418">
        <f t="shared" si="21"/>
        <v>13</v>
      </c>
      <c r="I132" s="418">
        <f t="shared" si="22"/>
        <v>13</v>
      </c>
      <c r="J132" s="418">
        <f t="shared" si="22"/>
        <v>13</v>
      </c>
      <c r="K132" s="418">
        <f t="shared" si="22"/>
        <v>13</v>
      </c>
      <c r="L132" s="607">
        <f t="shared" si="19"/>
        <v>0</v>
      </c>
      <c r="M132" s="2">
        <v>13</v>
      </c>
      <c r="N132" s="2">
        <v>13</v>
      </c>
      <c r="O132" s="2">
        <v>13</v>
      </c>
      <c r="P132" s="2">
        <v>13</v>
      </c>
      <c r="Q132" s="2">
        <v>13</v>
      </c>
      <c r="R132" s="2">
        <v>13</v>
      </c>
      <c r="T132" s="365">
        <f t="shared" si="18"/>
        <v>0</v>
      </c>
      <c r="V132" s="3"/>
    </row>
    <row r="133" spans="2:22" ht="21.75" customHeight="1">
      <c r="B133" s="416" t="s">
        <v>1554</v>
      </c>
      <c r="C133" s="417">
        <v>7016</v>
      </c>
      <c r="D133" s="402"/>
      <c r="E133" s="401">
        <v>42.5</v>
      </c>
      <c r="F133" s="401">
        <f t="shared" si="20"/>
        <v>46.5</v>
      </c>
      <c r="G133" s="418">
        <f ca="1">ФОП!A25</f>
        <v>46.5</v>
      </c>
      <c r="H133" s="418">
        <f t="shared" si="21"/>
        <v>46.5</v>
      </c>
      <c r="I133" s="418">
        <f t="shared" si="22"/>
        <v>46.5</v>
      </c>
      <c r="J133" s="418">
        <f t="shared" si="22"/>
        <v>46.5</v>
      </c>
      <c r="K133" s="418">
        <f t="shared" si="22"/>
        <v>46.5</v>
      </c>
      <c r="L133" s="607">
        <f t="shared" si="19"/>
        <v>4</v>
      </c>
      <c r="M133" s="2">
        <v>42.5</v>
      </c>
      <c r="N133" s="2">
        <v>42.5</v>
      </c>
      <c r="O133" s="2">
        <v>42.5</v>
      </c>
      <c r="P133" s="2">
        <v>42.5</v>
      </c>
      <c r="Q133" s="2">
        <v>42.5</v>
      </c>
      <c r="R133" s="2">
        <v>42.5</v>
      </c>
      <c r="T133" s="365">
        <f t="shared" si="18"/>
        <v>4</v>
      </c>
      <c r="V133" s="3"/>
    </row>
    <row r="134" spans="2:22" s="3" customFormat="1" ht="21.75" customHeight="1">
      <c r="B134" s="5" t="s">
        <v>1510</v>
      </c>
      <c r="C134" s="419">
        <v>7020</v>
      </c>
      <c r="D134" s="397"/>
      <c r="E134" s="397">
        <v>37984173</v>
      </c>
      <c r="F134" s="396">
        <f t="shared" si="20"/>
        <v>40215883.763400003</v>
      </c>
      <c r="G134" s="397">
        <f ca="1">SUM(G135:G140)</f>
        <v>40215883.763400003</v>
      </c>
      <c r="H134" s="397">
        <f ca="1">SUM(H135:H140)</f>
        <v>10059349.940850001</v>
      </c>
      <c r="I134" s="397">
        <f ca="1">SUM(I135:I140)</f>
        <v>10050384.940850001</v>
      </c>
      <c r="J134" s="397">
        <f ca="1">SUM(J135:J140)</f>
        <v>10048591.940850001</v>
      </c>
      <c r="K134" s="397">
        <f ca="1">SUM(K135:K140)</f>
        <v>10057556.940850001</v>
      </c>
      <c r="L134" s="607">
        <f t="shared" si="19"/>
        <v>3081967.0965790451</v>
      </c>
      <c r="M134" s="3">
        <v>37133916.666820958</v>
      </c>
      <c r="N134" s="3">
        <v>37133916.666820958</v>
      </c>
      <c r="O134" s="3">
        <v>9389450.8988460358</v>
      </c>
      <c r="P134" s="3">
        <v>9194734.7773368061</v>
      </c>
      <c r="Q134" s="3">
        <v>9168080.637135379</v>
      </c>
      <c r="R134" s="3">
        <v>9381650.3535027392</v>
      </c>
      <c r="T134" s="365">
        <f t="shared" si="18"/>
        <v>669899.04200396501</v>
      </c>
    </row>
    <row r="135" spans="2:22" ht="21.75" customHeight="1">
      <c r="B135" s="416" t="s">
        <v>1541</v>
      </c>
      <c r="C135" s="417">
        <v>7021</v>
      </c>
      <c r="D135" s="402"/>
      <c r="E135" s="402">
        <v>752690</v>
      </c>
      <c r="F135" s="402">
        <f t="shared" si="20"/>
        <v>752689.57740000007</v>
      </c>
      <c r="G135" s="403">
        <f ca="1">ФОП!S7</f>
        <v>752689.57740000007</v>
      </c>
      <c r="H135" s="403">
        <f ca="1">ФОП!O7</f>
        <v>188172.39435000002</v>
      </c>
      <c r="I135" s="403">
        <f ca="1">ФОП!P7</f>
        <v>188172.39435000002</v>
      </c>
      <c r="J135" s="403">
        <f ca="1">ФОП!Q7</f>
        <v>188172.39435000002</v>
      </c>
      <c r="K135" s="403">
        <f ca="1">ФОП!R7</f>
        <v>188172.39435000002</v>
      </c>
      <c r="L135" s="607">
        <f t="shared" si="19"/>
        <v>-186445.54301749996</v>
      </c>
      <c r="M135" s="2">
        <v>939135.12041750003</v>
      </c>
      <c r="N135" s="2">
        <v>939135.12041750003</v>
      </c>
      <c r="O135" s="2">
        <v>234783.78010437501</v>
      </c>
      <c r="P135" s="2">
        <v>234783.78010437501</v>
      </c>
      <c r="Q135" s="2">
        <v>234783.78010437501</v>
      </c>
      <c r="R135" s="2">
        <v>234783.78010437501</v>
      </c>
      <c r="T135" s="365">
        <f t="shared" ref="T135:T154" si="23">H135-O135</f>
        <v>-46611.385754374991</v>
      </c>
      <c r="V135" s="3"/>
    </row>
    <row r="136" spans="2:22" ht="21.75" customHeight="1">
      <c r="B136" s="416" t="s">
        <v>1427</v>
      </c>
      <c r="C136" s="417">
        <v>7022</v>
      </c>
      <c r="D136" s="402"/>
      <c r="E136" s="402">
        <v>9660000</v>
      </c>
      <c r="F136" s="402">
        <f t="shared" si="20"/>
        <v>11088000.000000002</v>
      </c>
      <c r="G136" s="403">
        <f ca="1">ФОП!S16</f>
        <v>11088000.000000002</v>
      </c>
      <c r="H136" s="403">
        <f ca="1">ФОП!O16</f>
        <v>2772000.0000000005</v>
      </c>
      <c r="I136" s="403">
        <f ca="1">ФОП!P16</f>
        <v>2772000.0000000005</v>
      </c>
      <c r="J136" s="403">
        <f ca="1">ФОП!Q16</f>
        <v>2772000.0000000005</v>
      </c>
      <c r="K136" s="403">
        <f ca="1">ФОП!R16</f>
        <v>2772000.0000000005</v>
      </c>
      <c r="L136" s="607">
        <f t="shared" si="19"/>
        <v>1054593.4000000022</v>
      </c>
      <c r="M136" s="2">
        <v>10033406.6</v>
      </c>
      <c r="N136" s="2">
        <v>10033406.6</v>
      </c>
      <c r="O136" s="2">
        <v>2508351.65</v>
      </c>
      <c r="P136" s="2">
        <v>2508351.65</v>
      </c>
      <c r="Q136" s="2">
        <v>2508351.65</v>
      </c>
      <c r="R136" s="2">
        <v>2508351.65</v>
      </c>
      <c r="T136" s="365">
        <f t="shared" si="23"/>
        <v>263648.35000000056</v>
      </c>
      <c r="V136" s="3"/>
    </row>
    <row r="137" spans="2:22" ht="21.75" customHeight="1">
      <c r="B137" s="416" t="s">
        <v>1508</v>
      </c>
      <c r="C137" s="417">
        <v>7023</v>
      </c>
      <c r="D137" s="402"/>
      <c r="E137" s="402">
        <v>15795000</v>
      </c>
      <c r="F137" s="402">
        <f t="shared" si="20"/>
        <v>15633000</v>
      </c>
      <c r="G137" s="403">
        <f ca="1">ФОП!S20</f>
        <v>15633000</v>
      </c>
      <c r="H137" s="403">
        <f ca="1">ФОП!O20</f>
        <v>3908250</v>
      </c>
      <c r="I137" s="403">
        <f ca="1">ФОП!P20</f>
        <v>3908250</v>
      </c>
      <c r="J137" s="403">
        <f ca="1">ФОП!Q20</f>
        <v>3908250</v>
      </c>
      <c r="K137" s="403">
        <f ca="1">ФОП!R20</f>
        <v>3908250</v>
      </c>
      <c r="L137" s="607">
        <f t="shared" si="19"/>
        <v>-758131.07499999925</v>
      </c>
      <c r="M137" s="2">
        <v>16391131.074999999</v>
      </c>
      <c r="N137" s="2">
        <v>16391131.074999999</v>
      </c>
      <c r="O137" s="2">
        <v>4097782.7687499998</v>
      </c>
      <c r="P137" s="2">
        <v>4097782.7687499998</v>
      </c>
      <c r="Q137" s="2">
        <v>4097782.7687499998</v>
      </c>
      <c r="R137" s="2">
        <v>4097782.7687499998</v>
      </c>
      <c r="T137" s="365">
        <f t="shared" si="23"/>
        <v>-189532.76874999981</v>
      </c>
      <c r="V137" s="3"/>
    </row>
    <row r="138" spans="2:22" ht="21.75" customHeight="1">
      <c r="B138" s="416" t="s">
        <v>1509</v>
      </c>
      <c r="C138" s="417">
        <v>7024</v>
      </c>
      <c r="D138" s="402"/>
      <c r="E138" s="402">
        <v>4503943</v>
      </c>
      <c r="F138" s="402">
        <f t="shared" si="20"/>
        <v>4725254.4000000004</v>
      </c>
      <c r="G138" s="403">
        <f ca="1">ФОП!S24</f>
        <v>4725254.4000000004</v>
      </c>
      <c r="H138" s="403">
        <f ca="1">ФОП!O24</f>
        <v>1181313.6000000001</v>
      </c>
      <c r="I138" s="403">
        <f ca="1">ФОП!P24</f>
        <v>1181313.6000000001</v>
      </c>
      <c r="J138" s="403">
        <f ca="1">ФОП!Q24</f>
        <v>1181313.6000000001</v>
      </c>
      <c r="K138" s="403">
        <f ca="1">ФОП!R24</f>
        <v>1181313.6000000001</v>
      </c>
      <c r="L138" s="607">
        <f t="shared" si="19"/>
        <v>670321.35667080525</v>
      </c>
      <c r="M138" s="2">
        <v>4054933.0433291951</v>
      </c>
      <c r="N138" s="2">
        <v>4054933.0433291951</v>
      </c>
      <c r="O138" s="2">
        <v>1013308.9931266848</v>
      </c>
      <c r="P138" s="2">
        <v>1026643.8119066504</v>
      </c>
      <c r="Q138" s="2">
        <v>1007239.0723122531</v>
      </c>
      <c r="R138" s="2">
        <v>1007741.1659836067</v>
      </c>
      <c r="T138" s="365">
        <f t="shared" si="23"/>
        <v>168004.60687331529</v>
      </c>
      <c r="V138" s="3"/>
    </row>
    <row r="139" spans="2:22" ht="21.75" customHeight="1">
      <c r="B139" s="416" t="s">
        <v>1507</v>
      </c>
      <c r="C139" s="417">
        <v>7025</v>
      </c>
      <c r="D139" s="401"/>
      <c r="E139" s="402">
        <v>2658055</v>
      </c>
      <c r="F139" s="402">
        <f t="shared" si="20"/>
        <v>2569304.5860000001</v>
      </c>
      <c r="G139" s="403">
        <f ca="1">ФОП!S12</f>
        <v>2569304.5860000001</v>
      </c>
      <c r="H139" s="403">
        <f ca="1">ФОП!O12</f>
        <v>642326.14650000003</v>
      </c>
      <c r="I139" s="403">
        <f ca="1">ФОП!P12</f>
        <v>642326.14650000003</v>
      </c>
      <c r="J139" s="403">
        <f ca="1">ФОП!Q12</f>
        <v>642326.14650000003</v>
      </c>
      <c r="K139" s="403">
        <f ca="1">ФОП!R12</f>
        <v>642326.14650000003</v>
      </c>
      <c r="L139" s="607">
        <f t="shared" si="19"/>
        <v>86890.232125000097</v>
      </c>
      <c r="M139" s="2">
        <v>2482414.353875</v>
      </c>
      <c r="N139" s="2">
        <v>2482414.353875</v>
      </c>
      <c r="O139" s="2">
        <v>620603.58846875001</v>
      </c>
      <c r="P139" s="2">
        <v>620603.58846875001</v>
      </c>
      <c r="Q139" s="2">
        <v>620603.58846875001</v>
      </c>
      <c r="R139" s="2">
        <v>620603.58846875001</v>
      </c>
      <c r="T139" s="365">
        <f t="shared" si="23"/>
        <v>21722.558031250024</v>
      </c>
      <c r="V139" s="3"/>
    </row>
    <row r="140" spans="2:22" ht="21.75" customHeight="1">
      <c r="B140" s="416" t="s">
        <v>1554</v>
      </c>
      <c r="C140" s="417">
        <v>7026</v>
      </c>
      <c r="D140" s="402"/>
      <c r="E140" s="402">
        <v>4614485</v>
      </c>
      <c r="F140" s="402">
        <f t="shared" si="20"/>
        <v>5447635.1999999993</v>
      </c>
      <c r="G140" s="403">
        <f ca="1">ФОП!S29</f>
        <v>5447635.1999999993</v>
      </c>
      <c r="H140" s="403">
        <f ca="1">ФОП!O29</f>
        <v>1367287.7999999998</v>
      </c>
      <c r="I140" s="403">
        <f ca="1">ФОП!P29</f>
        <v>1358322.7999999998</v>
      </c>
      <c r="J140" s="403">
        <f ca="1">ФОП!Q29</f>
        <v>1356529.7999999998</v>
      </c>
      <c r="K140" s="403">
        <f ca="1">ФОП!R29</f>
        <v>1365494.7999999998</v>
      </c>
      <c r="L140" s="607">
        <f t="shared" si="19"/>
        <v>2214738.7258007331</v>
      </c>
      <c r="M140" s="2">
        <v>3232896.4741992662</v>
      </c>
      <c r="N140" s="2">
        <v>3232896.4741992662</v>
      </c>
      <c r="O140" s="2">
        <v>914620.11839622643</v>
      </c>
      <c r="P140" s="2">
        <v>706569.17810703104</v>
      </c>
      <c r="Q140" s="2">
        <v>699319.77750000008</v>
      </c>
      <c r="R140" s="2">
        <v>912387.40019600862</v>
      </c>
      <c r="T140" s="365">
        <f t="shared" si="23"/>
        <v>452667.68160377338</v>
      </c>
      <c r="V140" s="3"/>
    </row>
    <row r="141" spans="2:22" ht="21.75" customHeight="1">
      <c r="B141" s="386" t="s">
        <v>1511</v>
      </c>
      <c r="C141" s="417">
        <v>7030</v>
      </c>
      <c r="D141" s="403" t="s">
        <v>1518</v>
      </c>
      <c r="E141" s="418" t="s">
        <v>1518</v>
      </c>
      <c r="F141" s="418" t="s">
        <v>1518</v>
      </c>
      <c r="G141" s="418" t="s">
        <v>1518</v>
      </c>
      <c r="H141" s="418" t="s">
        <v>1518</v>
      </c>
      <c r="I141" s="418" t="s">
        <v>1518</v>
      </c>
      <c r="J141" s="418" t="s">
        <v>1518</v>
      </c>
      <c r="K141" s="418" t="s">
        <v>1518</v>
      </c>
      <c r="L141" s="607"/>
      <c r="M141" s="2" t="s">
        <v>1518</v>
      </c>
      <c r="N141" s="2" t="s">
        <v>1518</v>
      </c>
      <c r="O141" s="2" t="s">
        <v>1518</v>
      </c>
      <c r="P141" s="2" t="s">
        <v>1518</v>
      </c>
      <c r="Q141" s="2" t="s">
        <v>1518</v>
      </c>
      <c r="R141" s="2" t="s">
        <v>1518</v>
      </c>
      <c r="T141" s="365" t="e">
        <f t="shared" si="23"/>
        <v>#VALUE!</v>
      </c>
      <c r="V141" s="3"/>
    </row>
    <row r="142" spans="2:22" ht="21.75" customHeight="1">
      <c r="B142" s="416" t="s">
        <v>1541</v>
      </c>
      <c r="C142" s="417">
        <v>7031</v>
      </c>
      <c r="D142" s="403" t="e">
        <f t="shared" ref="D142:D147" si="24">D135/12/D128</f>
        <v>#DIV/0!</v>
      </c>
      <c r="E142" s="403">
        <v>20908</v>
      </c>
      <c r="F142" s="403">
        <f>G142</f>
        <v>20908.043816666668</v>
      </c>
      <c r="G142" s="403">
        <f t="shared" ref="G142:G147" si="25">G135/12/G128</f>
        <v>20908.043816666668</v>
      </c>
      <c r="H142" s="403">
        <f t="shared" ref="H142:H147" si="26">H135/3/H128</f>
        <v>20908.043816666668</v>
      </c>
      <c r="I142" s="403">
        <f t="shared" ref="I142:K144" si="27">I135/3/I128</f>
        <v>20908.043816666668</v>
      </c>
      <c r="J142" s="403">
        <f t="shared" si="27"/>
        <v>20908.043816666668</v>
      </c>
      <c r="K142" s="403">
        <f t="shared" si="27"/>
        <v>20908.043816666668</v>
      </c>
      <c r="L142" s="607"/>
      <c r="M142" s="2">
        <v>19565.315008697919</v>
      </c>
      <c r="N142" s="2">
        <v>19565.315008697919</v>
      </c>
      <c r="O142" s="2">
        <v>19565.315008697919</v>
      </c>
      <c r="P142" s="2">
        <v>19565.315008697919</v>
      </c>
      <c r="Q142" s="2">
        <v>19565.315008697919</v>
      </c>
      <c r="R142" s="2">
        <v>19565.315008697919</v>
      </c>
      <c r="T142" s="365">
        <f t="shared" si="23"/>
        <v>1342.7288079687496</v>
      </c>
      <c r="V142" s="3"/>
    </row>
    <row r="143" spans="2:22" ht="21.75" customHeight="1">
      <c r="B143" s="416" t="s">
        <v>1427</v>
      </c>
      <c r="C143" s="417">
        <v>7032</v>
      </c>
      <c r="D143" s="403" t="e">
        <f t="shared" si="24"/>
        <v>#DIV/0!</v>
      </c>
      <c r="E143" s="403">
        <v>19515</v>
      </c>
      <c r="F143" s="403">
        <f t="shared" ref="F143:F154" si="28">G143</f>
        <v>19870.967741935485</v>
      </c>
      <c r="G143" s="403">
        <f t="shared" si="25"/>
        <v>19870.967741935485</v>
      </c>
      <c r="H143" s="403">
        <f t="shared" si="26"/>
        <v>19870.967741935485</v>
      </c>
      <c r="I143" s="403">
        <f t="shared" si="27"/>
        <v>19870.967741935485</v>
      </c>
      <c r="J143" s="403">
        <f t="shared" si="27"/>
        <v>19870.967741935485</v>
      </c>
      <c r="K143" s="403">
        <f t="shared" si="27"/>
        <v>19870.967741935485</v>
      </c>
      <c r="L143" s="607"/>
      <c r="M143" s="2">
        <v>20518.213905930472</v>
      </c>
      <c r="N143" s="2">
        <v>20518.213905930472</v>
      </c>
      <c r="O143" s="2">
        <v>20518.213905930472</v>
      </c>
      <c r="P143" s="2">
        <v>20518.213905930472</v>
      </c>
      <c r="Q143" s="2">
        <v>20518.213905930472</v>
      </c>
      <c r="R143" s="2">
        <v>20518.213905930472</v>
      </c>
      <c r="T143" s="365">
        <f t="shared" si="23"/>
        <v>-647.246163994987</v>
      </c>
      <c r="V143" s="3"/>
    </row>
    <row r="144" spans="2:22" ht="21.75" customHeight="1">
      <c r="B144" s="416" t="s">
        <v>1508</v>
      </c>
      <c r="C144" s="417">
        <v>7033</v>
      </c>
      <c r="D144" s="403" t="e">
        <f t="shared" si="24"/>
        <v>#DIV/0!</v>
      </c>
      <c r="E144" s="403">
        <v>13500</v>
      </c>
      <c r="F144" s="403">
        <f t="shared" si="28"/>
        <v>13500</v>
      </c>
      <c r="G144" s="403">
        <f t="shared" si="25"/>
        <v>13500</v>
      </c>
      <c r="H144" s="403">
        <f t="shared" si="26"/>
        <v>13500</v>
      </c>
      <c r="I144" s="403">
        <f t="shared" si="27"/>
        <v>13500</v>
      </c>
      <c r="J144" s="403">
        <f>J137/3/J130</f>
        <v>13500</v>
      </c>
      <c r="K144" s="403">
        <f t="shared" si="27"/>
        <v>13500</v>
      </c>
      <c r="L144" s="607"/>
      <c r="M144" s="2">
        <v>13938.03662840136</v>
      </c>
      <c r="N144" s="2">
        <v>13938.03662840136</v>
      </c>
      <c r="O144" s="2">
        <v>13938.03662840136</v>
      </c>
      <c r="P144" s="2">
        <v>13938.03662840136</v>
      </c>
      <c r="Q144" s="2">
        <v>13938.03662840136</v>
      </c>
      <c r="R144" s="2">
        <v>13938.03662840136</v>
      </c>
      <c r="T144" s="365">
        <f t="shared" si="23"/>
        <v>-438.03662840135985</v>
      </c>
      <c r="V144" s="3"/>
    </row>
    <row r="145" spans="2:22" ht="21.75" customHeight="1">
      <c r="B145" s="416" t="s">
        <v>1509</v>
      </c>
      <c r="C145" s="417">
        <v>7034</v>
      </c>
      <c r="D145" s="403" t="e">
        <f t="shared" si="24"/>
        <v>#DIV/0!</v>
      </c>
      <c r="E145" s="403">
        <v>8729</v>
      </c>
      <c r="F145" s="403">
        <f t="shared" si="28"/>
        <v>8750.4711111111119</v>
      </c>
      <c r="G145" s="403">
        <f t="shared" si="25"/>
        <v>8750.4711111111119</v>
      </c>
      <c r="H145" s="403">
        <f t="shared" si="26"/>
        <v>8750.4711111111119</v>
      </c>
      <c r="I145" s="403">
        <f t="shared" ref="I145:K147" si="29">I138/3/I131</f>
        <v>8750.4711111111119</v>
      </c>
      <c r="J145" s="403">
        <f t="shared" si="29"/>
        <v>8750.4711111111119</v>
      </c>
      <c r="K145" s="403">
        <f t="shared" si="29"/>
        <v>8750.4711111111119</v>
      </c>
      <c r="L145" s="607"/>
      <c r="M145" s="2">
        <v>7858.3973707930136</v>
      </c>
      <c r="N145" s="2">
        <v>7858.3973707930136</v>
      </c>
      <c r="O145" s="2">
        <v>7855.1084738502695</v>
      </c>
      <c r="P145" s="2">
        <v>7958.4791620670576</v>
      </c>
      <c r="Q145" s="2">
        <v>7808.0548241259921</v>
      </c>
      <c r="R145" s="2">
        <v>7811.9470231287351</v>
      </c>
      <c r="T145" s="365">
        <f t="shared" si="23"/>
        <v>895.36263726084235</v>
      </c>
      <c r="V145" s="3"/>
    </row>
    <row r="146" spans="2:22" ht="21.75" customHeight="1">
      <c r="B146" s="416" t="s">
        <v>1507</v>
      </c>
      <c r="C146" s="417">
        <v>7035</v>
      </c>
      <c r="D146" s="403" t="e">
        <f t="shared" si="24"/>
        <v>#DIV/0!</v>
      </c>
      <c r="E146" s="403">
        <v>17039</v>
      </c>
      <c r="F146" s="403">
        <f t="shared" si="28"/>
        <v>16469.901192307694</v>
      </c>
      <c r="G146" s="403">
        <f t="shared" si="25"/>
        <v>16469.901192307694</v>
      </c>
      <c r="H146" s="403">
        <f t="shared" si="26"/>
        <v>16469.901192307694</v>
      </c>
      <c r="I146" s="403">
        <f t="shared" si="29"/>
        <v>16469.901192307694</v>
      </c>
      <c r="J146" s="403">
        <f t="shared" si="29"/>
        <v>16469.901192307694</v>
      </c>
      <c r="K146" s="403">
        <f t="shared" si="29"/>
        <v>16469.901192307694</v>
      </c>
      <c r="L146" s="607"/>
      <c r="M146" s="2">
        <v>15912.912524839745</v>
      </c>
      <c r="N146" s="2">
        <v>15912.912524839745</v>
      </c>
      <c r="O146" s="2">
        <v>15912.912524839745</v>
      </c>
      <c r="P146" s="2">
        <v>15912.912524839745</v>
      </c>
      <c r="Q146" s="2">
        <v>15912.912524839745</v>
      </c>
      <c r="R146" s="2">
        <v>15912.912524839745</v>
      </c>
      <c r="T146" s="365">
        <f t="shared" si="23"/>
        <v>556.9886674679492</v>
      </c>
      <c r="V146" s="3"/>
    </row>
    <row r="147" spans="2:22" ht="21.75" customHeight="1">
      <c r="B147" s="416" t="s">
        <v>1554</v>
      </c>
      <c r="C147" s="417">
        <v>7036</v>
      </c>
      <c r="D147" s="403" t="e">
        <f t="shared" si="24"/>
        <v>#DIV/0!</v>
      </c>
      <c r="E147" s="403">
        <v>8840</v>
      </c>
      <c r="F147" s="403">
        <f t="shared" si="28"/>
        <v>9762.787096774191</v>
      </c>
      <c r="G147" s="403">
        <f t="shared" si="25"/>
        <v>9762.787096774191</v>
      </c>
      <c r="H147" s="403">
        <f t="shared" si="26"/>
        <v>9801.3462365591386</v>
      </c>
      <c r="I147" s="403">
        <f t="shared" si="29"/>
        <v>9737.0810035842278</v>
      </c>
      <c r="J147" s="403">
        <f t="shared" si="29"/>
        <v>9724.2279569892453</v>
      </c>
      <c r="K147" s="403">
        <f t="shared" si="29"/>
        <v>9788.493189964156</v>
      </c>
      <c r="L147" s="607"/>
      <c r="M147" s="2">
        <v>6339.0126945083648</v>
      </c>
      <c r="N147" s="2">
        <v>6339.0126945083648</v>
      </c>
      <c r="O147" s="2">
        <v>7173.4911246762858</v>
      </c>
      <c r="P147" s="2">
        <v>5541.7190439767146</v>
      </c>
      <c r="Q147" s="2">
        <v>5484.8610000000008</v>
      </c>
      <c r="R147" s="2">
        <v>7155.9796093804598</v>
      </c>
      <c r="T147" s="365">
        <f t="shared" si="23"/>
        <v>2627.8551118828527</v>
      </c>
      <c r="V147" s="3"/>
    </row>
    <row r="148" spans="2:22" ht="21.75" customHeight="1">
      <c r="B148" s="386" t="s">
        <v>1512</v>
      </c>
      <c r="C148" s="417">
        <v>7040</v>
      </c>
      <c r="D148" s="402">
        <v>0</v>
      </c>
      <c r="E148" s="418">
        <v>0</v>
      </c>
      <c r="F148" s="418">
        <f t="shared" si="28"/>
        <v>0</v>
      </c>
      <c r="G148" s="418">
        <f>SUM(G149:G154)</f>
        <v>0</v>
      </c>
      <c r="H148" s="418" t="s">
        <v>1518</v>
      </c>
      <c r="I148" s="418" t="s">
        <v>1518</v>
      </c>
      <c r="J148" s="418" t="s">
        <v>1518</v>
      </c>
      <c r="K148" s="418" t="s">
        <v>1518</v>
      </c>
      <c r="L148" s="607"/>
      <c r="M148" s="2">
        <v>0</v>
      </c>
      <c r="N148" s="2">
        <v>0</v>
      </c>
      <c r="O148" s="2" t="s">
        <v>1518</v>
      </c>
      <c r="P148" s="2" t="s">
        <v>1518</v>
      </c>
      <c r="Q148" s="2" t="s">
        <v>1518</v>
      </c>
      <c r="R148" s="2" t="s">
        <v>1518</v>
      </c>
      <c r="T148" s="365" t="e">
        <f t="shared" si="23"/>
        <v>#VALUE!</v>
      </c>
      <c r="V148" s="3"/>
    </row>
    <row r="149" spans="2:22" ht="21.75" customHeight="1">
      <c r="B149" s="416" t="s">
        <v>1541</v>
      </c>
      <c r="C149" s="417">
        <v>7041</v>
      </c>
      <c r="D149" s="402">
        <v>0</v>
      </c>
      <c r="E149" s="401">
        <v>0</v>
      </c>
      <c r="F149" s="418">
        <f t="shared" si="28"/>
        <v>0</v>
      </c>
      <c r="G149" s="401">
        <v>0</v>
      </c>
      <c r="H149" s="418" t="s">
        <v>1518</v>
      </c>
      <c r="I149" s="418" t="s">
        <v>1518</v>
      </c>
      <c r="J149" s="418" t="s">
        <v>1518</v>
      </c>
      <c r="K149" s="418" t="s">
        <v>1518</v>
      </c>
      <c r="L149" s="607"/>
      <c r="M149" s="2">
        <v>0</v>
      </c>
      <c r="N149" s="2">
        <v>0</v>
      </c>
      <c r="O149" s="2" t="s">
        <v>1518</v>
      </c>
      <c r="P149" s="2" t="s">
        <v>1518</v>
      </c>
      <c r="Q149" s="2" t="s">
        <v>1518</v>
      </c>
      <c r="R149" s="2" t="s">
        <v>1518</v>
      </c>
      <c r="T149" s="365" t="e">
        <f t="shared" si="23"/>
        <v>#VALUE!</v>
      </c>
      <c r="V149" s="3"/>
    </row>
    <row r="150" spans="2:22" ht="21.75" customHeight="1">
      <c r="B150" s="416" t="s">
        <v>1427</v>
      </c>
      <c r="C150" s="417">
        <v>7042</v>
      </c>
      <c r="D150" s="402">
        <v>0</v>
      </c>
      <c r="E150" s="401">
        <v>0</v>
      </c>
      <c r="F150" s="418">
        <f t="shared" si="28"/>
        <v>0</v>
      </c>
      <c r="G150" s="401">
        <v>0</v>
      </c>
      <c r="H150" s="418" t="s">
        <v>1518</v>
      </c>
      <c r="I150" s="418" t="s">
        <v>1518</v>
      </c>
      <c r="J150" s="418" t="s">
        <v>1518</v>
      </c>
      <c r="K150" s="418" t="s">
        <v>1518</v>
      </c>
      <c r="L150" s="607"/>
      <c r="M150" s="2">
        <v>0</v>
      </c>
      <c r="N150" s="2">
        <v>0</v>
      </c>
      <c r="O150" s="2" t="s">
        <v>1518</v>
      </c>
      <c r="P150" s="2" t="s">
        <v>1518</v>
      </c>
      <c r="Q150" s="2" t="s">
        <v>1518</v>
      </c>
      <c r="R150" s="2" t="s">
        <v>1518</v>
      </c>
      <c r="T150" s="365" t="e">
        <f t="shared" si="23"/>
        <v>#VALUE!</v>
      </c>
      <c r="V150" s="3"/>
    </row>
    <row r="151" spans="2:22" ht="21.75" customHeight="1">
      <c r="B151" s="416" t="s">
        <v>1508</v>
      </c>
      <c r="C151" s="417">
        <v>7043</v>
      </c>
      <c r="D151" s="402">
        <v>0</v>
      </c>
      <c r="E151" s="401">
        <v>0</v>
      </c>
      <c r="F151" s="418">
        <f t="shared" si="28"/>
        <v>0</v>
      </c>
      <c r="G151" s="401">
        <v>0</v>
      </c>
      <c r="H151" s="418" t="s">
        <v>1518</v>
      </c>
      <c r="I151" s="418" t="s">
        <v>1518</v>
      </c>
      <c r="J151" s="418" t="s">
        <v>1518</v>
      </c>
      <c r="K151" s="418" t="s">
        <v>1518</v>
      </c>
      <c r="L151" s="607"/>
      <c r="M151" s="2">
        <v>0</v>
      </c>
      <c r="N151" s="2">
        <v>0</v>
      </c>
      <c r="O151" s="2" t="s">
        <v>1518</v>
      </c>
      <c r="P151" s="2" t="s">
        <v>1518</v>
      </c>
      <c r="Q151" s="2" t="s">
        <v>1518</v>
      </c>
      <c r="R151" s="2" t="s">
        <v>1518</v>
      </c>
      <c r="T151" s="365" t="e">
        <f t="shared" si="23"/>
        <v>#VALUE!</v>
      </c>
      <c r="V151" s="3"/>
    </row>
    <row r="152" spans="2:22" ht="21.75" customHeight="1">
      <c r="B152" s="416" t="s">
        <v>1509</v>
      </c>
      <c r="C152" s="417">
        <v>7044</v>
      </c>
      <c r="D152" s="402">
        <v>0</v>
      </c>
      <c r="E152" s="401">
        <v>0</v>
      </c>
      <c r="F152" s="418">
        <f t="shared" si="28"/>
        <v>0</v>
      </c>
      <c r="G152" s="401">
        <v>0</v>
      </c>
      <c r="H152" s="418" t="s">
        <v>1518</v>
      </c>
      <c r="I152" s="418" t="s">
        <v>1518</v>
      </c>
      <c r="J152" s="418" t="s">
        <v>1518</v>
      </c>
      <c r="K152" s="418" t="s">
        <v>1518</v>
      </c>
      <c r="L152" s="607"/>
      <c r="M152" s="2">
        <v>0</v>
      </c>
      <c r="N152" s="2">
        <v>0</v>
      </c>
      <c r="O152" s="2" t="s">
        <v>1518</v>
      </c>
      <c r="P152" s="2" t="s">
        <v>1518</v>
      </c>
      <c r="Q152" s="2" t="s">
        <v>1518</v>
      </c>
      <c r="R152" s="2" t="s">
        <v>1518</v>
      </c>
      <c r="T152" s="365" t="e">
        <f t="shared" si="23"/>
        <v>#VALUE!</v>
      </c>
      <c r="V152" s="3"/>
    </row>
    <row r="153" spans="2:22" ht="21.75" customHeight="1">
      <c r="B153" s="416" t="s">
        <v>1507</v>
      </c>
      <c r="C153" s="417">
        <v>7045</v>
      </c>
      <c r="D153" s="402">
        <v>0</v>
      </c>
      <c r="E153" s="401">
        <v>0</v>
      </c>
      <c r="F153" s="418">
        <f t="shared" si="28"/>
        <v>0</v>
      </c>
      <c r="G153" s="401">
        <v>0</v>
      </c>
      <c r="H153" s="418" t="s">
        <v>1518</v>
      </c>
      <c r="I153" s="418" t="s">
        <v>1518</v>
      </c>
      <c r="J153" s="418" t="s">
        <v>1518</v>
      </c>
      <c r="K153" s="418" t="s">
        <v>1518</v>
      </c>
      <c r="L153" s="607"/>
      <c r="M153" s="2">
        <v>0</v>
      </c>
      <c r="N153" s="2">
        <v>0</v>
      </c>
      <c r="O153" s="2" t="s">
        <v>1518</v>
      </c>
      <c r="P153" s="2" t="s">
        <v>1518</v>
      </c>
      <c r="Q153" s="2" t="s">
        <v>1518</v>
      </c>
      <c r="R153" s="2" t="s">
        <v>1518</v>
      </c>
      <c r="T153" s="365" t="e">
        <f t="shared" si="23"/>
        <v>#VALUE!</v>
      </c>
      <c r="V153" s="3"/>
    </row>
    <row r="154" spans="2:22" ht="21.75" customHeight="1">
      <c r="B154" s="416" t="s">
        <v>1554</v>
      </c>
      <c r="C154" s="417">
        <v>7046</v>
      </c>
      <c r="D154" s="402">
        <v>0</v>
      </c>
      <c r="E154" s="401">
        <v>0</v>
      </c>
      <c r="F154" s="418">
        <f t="shared" si="28"/>
        <v>0</v>
      </c>
      <c r="G154" s="401">
        <v>0</v>
      </c>
      <c r="H154" s="418" t="s">
        <v>1518</v>
      </c>
      <c r="I154" s="418" t="s">
        <v>1518</v>
      </c>
      <c r="J154" s="418" t="s">
        <v>1518</v>
      </c>
      <c r="K154" s="418" t="s">
        <v>1518</v>
      </c>
      <c r="L154" s="607"/>
      <c r="M154" s="2">
        <v>0</v>
      </c>
      <c r="N154" s="2">
        <v>0</v>
      </c>
      <c r="O154" s="2" t="s">
        <v>1518</v>
      </c>
      <c r="P154" s="2" t="s">
        <v>1518</v>
      </c>
      <c r="Q154" s="2" t="s">
        <v>1518</v>
      </c>
      <c r="R154" s="2" t="s">
        <v>1518</v>
      </c>
      <c r="T154" s="365" t="e">
        <f t="shared" si="23"/>
        <v>#VALUE!</v>
      </c>
      <c r="V154" s="3"/>
    </row>
    <row r="155" spans="2:22" ht="19.5" customHeight="1">
      <c r="B155" s="420"/>
      <c r="C155" s="421"/>
      <c r="D155" s="422"/>
      <c r="E155" s="422"/>
      <c r="F155" s="422"/>
      <c r="G155" s="422"/>
      <c r="H155" s="422"/>
      <c r="I155" s="422"/>
      <c r="J155" s="422"/>
      <c r="K155" s="422"/>
      <c r="V155" s="3"/>
    </row>
    <row r="156" spans="2:22" ht="21.75" customHeight="1">
      <c r="B156" s="426"/>
      <c r="C156" s="429"/>
      <c r="D156" s="430"/>
      <c r="E156" s="431"/>
      <c r="F156" s="431"/>
      <c r="G156" s="431"/>
      <c r="H156" s="431"/>
      <c r="I156" s="431"/>
      <c r="J156" s="431"/>
      <c r="K156" s="431"/>
      <c r="V156" s="3"/>
    </row>
    <row r="157" spans="2:22" ht="25.5">
      <c r="B157" s="426" t="s">
        <v>1279</v>
      </c>
      <c r="C157" s="432"/>
      <c r="D157" s="910"/>
      <c r="E157" s="910"/>
      <c r="F157" s="910"/>
      <c r="G157" s="910"/>
      <c r="H157" s="433"/>
      <c r="I157" s="911" t="s">
        <v>1310</v>
      </c>
      <c r="J157" s="911"/>
      <c r="K157" s="911"/>
      <c r="P157" s="2" t="s">
        <v>1310</v>
      </c>
    </row>
    <row r="158" spans="2:22" ht="26.25">
      <c r="B158" s="434"/>
      <c r="C158" s="435"/>
      <c r="D158" s="908" t="s">
        <v>689</v>
      </c>
      <c r="E158" s="908"/>
      <c r="F158" s="908"/>
      <c r="G158" s="908"/>
      <c r="H158" s="427"/>
      <c r="I158" s="909" t="s">
        <v>1678</v>
      </c>
      <c r="J158" s="909"/>
      <c r="K158" s="909"/>
      <c r="P158" s="2" t="s">
        <v>1678</v>
      </c>
    </row>
    <row r="159" spans="2:22" ht="44.25" customHeight="1">
      <c r="B159" s="420" t="s">
        <v>193</v>
      </c>
      <c r="D159" s="423"/>
      <c r="E159" s="424"/>
      <c r="F159" s="424"/>
      <c r="G159" s="424"/>
      <c r="H159" s="424"/>
      <c r="I159" s="424"/>
      <c r="J159" s="424"/>
      <c r="K159" s="424"/>
    </row>
    <row r="160" spans="2:22">
      <c r="B160" s="420"/>
      <c r="D160" s="423"/>
      <c r="E160" s="424"/>
      <c r="F160" s="424"/>
      <c r="G160" s="424"/>
      <c r="H160" s="424"/>
      <c r="I160" s="424"/>
      <c r="J160" s="424"/>
      <c r="K160" s="424"/>
    </row>
    <row r="161" spans="2:11">
      <c r="B161" s="420"/>
      <c r="D161" s="423"/>
      <c r="E161" s="424"/>
      <c r="F161" s="424"/>
      <c r="G161" s="424"/>
      <c r="H161" s="424"/>
      <c r="I161" s="424"/>
      <c r="J161" s="424"/>
      <c r="K161" s="424"/>
    </row>
    <row r="162" spans="2:11">
      <c r="B162" s="420"/>
      <c r="D162" s="423"/>
      <c r="E162" s="424"/>
      <c r="F162" s="424"/>
      <c r="G162" s="424"/>
      <c r="H162" s="424"/>
      <c r="I162" s="424"/>
      <c r="J162" s="424"/>
      <c r="K162" s="424"/>
    </row>
    <row r="163" spans="2:11">
      <c r="B163" s="420"/>
      <c r="D163" s="423"/>
      <c r="E163" s="424"/>
      <c r="F163" s="424"/>
      <c r="G163" s="424"/>
      <c r="H163" s="424"/>
      <c r="I163" s="424"/>
      <c r="J163" s="424"/>
      <c r="K163" s="424"/>
    </row>
    <row r="164" spans="2:11">
      <c r="B164" s="420"/>
      <c r="D164" s="423"/>
      <c r="E164" s="424"/>
      <c r="F164" s="424"/>
      <c r="G164" s="424"/>
      <c r="H164" s="424"/>
      <c r="I164" s="424"/>
      <c r="J164" s="424"/>
      <c r="K164" s="424"/>
    </row>
    <row r="165" spans="2:11">
      <c r="B165" s="420"/>
      <c r="D165" s="423"/>
      <c r="E165" s="424"/>
      <c r="F165" s="424"/>
      <c r="G165" s="424"/>
      <c r="H165" s="424"/>
      <c r="I165" s="424"/>
      <c r="J165" s="424"/>
      <c r="K165" s="424"/>
    </row>
    <row r="166" spans="2:11">
      <c r="B166" s="420"/>
      <c r="D166" s="423"/>
      <c r="E166" s="424"/>
      <c r="F166" s="424"/>
      <c r="G166" s="424"/>
      <c r="H166" s="424"/>
      <c r="I166" s="424"/>
      <c r="J166" s="424"/>
      <c r="K166" s="424"/>
    </row>
    <row r="167" spans="2:11">
      <c r="B167" s="420"/>
      <c r="D167" s="423"/>
      <c r="E167" s="424"/>
      <c r="F167" s="424"/>
      <c r="G167" s="424"/>
      <c r="H167" s="424"/>
      <c r="I167" s="424"/>
      <c r="J167" s="424"/>
      <c r="K167" s="424"/>
    </row>
    <row r="168" spans="2:11">
      <c r="B168" s="420"/>
      <c r="D168" s="423"/>
      <c r="E168" s="424"/>
      <c r="F168" s="424"/>
      <c r="G168" s="424"/>
      <c r="H168" s="424"/>
      <c r="I168" s="424"/>
      <c r="J168" s="424"/>
      <c r="K168" s="424"/>
    </row>
    <row r="169" spans="2:11">
      <c r="B169" s="420"/>
      <c r="D169" s="423"/>
      <c r="E169" s="424"/>
      <c r="F169" s="424"/>
      <c r="G169" s="424"/>
      <c r="H169" s="424"/>
      <c r="I169" s="424"/>
      <c r="J169" s="424"/>
      <c r="K169" s="424"/>
    </row>
    <row r="170" spans="2:11">
      <c r="B170" s="420"/>
      <c r="D170" s="423"/>
      <c r="E170" s="424"/>
      <c r="F170" s="424"/>
      <c r="G170" s="424"/>
      <c r="H170" s="424"/>
      <c r="I170" s="424"/>
      <c r="J170" s="424"/>
      <c r="K170" s="424"/>
    </row>
    <row r="171" spans="2:11">
      <c r="B171" s="420"/>
      <c r="D171" s="423"/>
      <c r="E171" s="424"/>
      <c r="F171" s="424"/>
      <c r="G171" s="424"/>
      <c r="H171" s="424"/>
      <c r="I171" s="424"/>
      <c r="J171" s="424"/>
      <c r="K171" s="424"/>
    </row>
    <row r="172" spans="2:11">
      <c r="B172" s="420"/>
      <c r="D172" s="423"/>
      <c r="E172" s="424"/>
      <c r="F172" s="424"/>
      <c r="G172" s="424"/>
      <c r="H172" s="424"/>
      <c r="I172" s="424"/>
      <c r="J172" s="424"/>
      <c r="K172" s="424"/>
    </row>
    <row r="173" spans="2:11">
      <c r="B173" s="420"/>
      <c r="D173" s="423"/>
      <c r="E173" s="424"/>
      <c r="F173" s="424"/>
      <c r="G173" s="424"/>
      <c r="H173" s="424"/>
      <c r="I173" s="424"/>
      <c r="J173" s="424"/>
      <c r="K173" s="424"/>
    </row>
    <row r="174" spans="2:11">
      <c r="B174" s="420"/>
      <c r="D174" s="423"/>
      <c r="E174" s="424"/>
      <c r="F174" s="424"/>
      <c r="G174" s="424"/>
      <c r="H174" s="424"/>
      <c r="I174" s="424"/>
      <c r="J174" s="424"/>
      <c r="K174" s="424"/>
    </row>
    <row r="175" spans="2:11">
      <c r="B175" s="420"/>
      <c r="D175" s="423"/>
      <c r="E175" s="424"/>
      <c r="F175" s="424"/>
      <c r="G175" s="424"/>
      <c r="H175" s="424"/>
      <c r="I175" s="424"/>
      <c r="J175" s="424"/>
      <c r="K175" s="424"/>
    </row>
    <row r="176" spans="2:11">
      <c r="B176" s="420"/>
      <c r="D176" s="423"/>
      <c r="E176" s="424"/>
      <c r="F176" s="424"/>
      <c r="G176" s="424"/>
      <c r="H176" s="424"/>
      <c r="I176" s="424"/>
      <c r="J176" s="424"/>
      <c r="K176" s="424"/>
    </row>
    <row r="177" spans="2:11">
      <c r="B177" s="420"/>
      <c r="D177" s="423"/>
      <c r="E177" s="424"/>
      <c r="F177" s="424"/>
      <c r="G177" s="424"/>
      <c r="H177" s="424"/>
      <c r="I177" s="424"/>
      <c r="J177" s="424"/>
      <c r="K177" s="424"/>
    </row>
    <row r="178" spans="2:11">
      <c r="B178" s="420"/>
      <c r="D178" s="423"/>
      <c r="E178" s="424"/>
      <c r="F178" s="424"/>
      <c r="G178" s="424"/>
      <c r="H178" s="424"/>
      <c r="I178" s="424"/>
      <c r="J178" s="424"/>
      <c r="K178" s="424"/>
    </row>
    <row r="179" spans="2:11">
      <c r="B179" s="420"/>
      <c r="D179" s="423"/>
      <c r="E179" s="424"/>
      <c r="F179" s="424"/>
      <c r="G179" s="424"/>
      <c r="H179" s="424"/>
      <c r="I179" s="424"/>
      <c r="J179" s="424"/>
      <c r="K179" s="424"/>
    </row>
    <row r="180" spans="2:11">
      <c r="B180" s="420"/>
      <c r="D180" s="423"/>
      <c r="E180" s="424"/>
      <c r="F180" s="424"/>
      <c r="G180" s="424"/>
      <c r="H180" s="424"/>
      <c r="I180" s="424"/>
      <c r="J180" s="424"/>
      <c r="K180" s="424"/>
    </row>
    <row r="181" spans="2:11">
      <c r="B181" s="420"/>
      <c r="D181" s="423"/>
      <c r="E181" s="424"/>
      <c r="F181" s="424"/>
      <c r="G181" s="424"/>
      <c r="H181" s="424"/>
      <c r="I181" s="424"/>
      <c r="J181" s="424"/>
      <c r="K181" s="424"/>
    </row>
    <row r="182" spans="2:11">
      <c r="B182" s="420"/>
      <c r="D182" s="423"/>
      <c r="E182" s="424"/>
      <c r="F182" s="424"/>
      <c r="G182" s="424"/>
      <c r="H182" s="424"/>
      <c r="I182" s="424"/>
      <c r="J182" s="424"/>
      <c r="K182" s="424"/>
    </row>
    <row r="183" spans="2:11">
      <c r="B183" s="420"/>
      <c r="D183" s="423"/>
      <c r="E183" s="424"/>
      <c r="F183" s="424"/>
      <c r="G183" s="424"/>
      <c r="H183" s="424"/>
      <c r="I183" s="424"/>
      <c r="J183" s="424"/>
      <c r="K183" s="424"/>
    </row>
    <row r="184" spans="2:11">
      <c r="B184" s="420"/>
      <c r="D184" s="423"/>
      <c r="E184" s="424"/>
      <c r="F184" s="424"/>
      <c r="G184" s="424"/>
      <c r="H184" s="424"/>
      <c r="I184" s="424"/>
      <c r="J184" s="424"/>
      <c r="K184" s="424"/>
    </row>
    <row r="185" spans="2:11">
      <c r="B185" s="420"/>
      <c r="D185" s="423"/>
      <c r="E185" s="424"/>
      <c r="F185" s="424"/>
      <c r="G185" s="424"/>
      <c r="H185" s="424"/>
      <c r="I185" s="424"/>
      <c r="J185" s="424"/>
      <c r="K185" s="424"/>
    </row>
    <row r="186" spans="2:11">
      <c r="B186" s="420"/>
      <c r="D186" s="423"/>
      <c r="E186" s="424"/>
      <c r="F186" s="424"/>
      <c r="G186" s="424"/>
      <c r="H186" s="424"/>
      <c r="I186" s="424"/>
      <c r="J186" s="424"/>
      <c r="K186" s="424"/>
    </row>
    <row r="187" spans="2:11">
      <c r="B187" s="420"/>
      <c r="D187" s="423"/>
      <c r="E187" s="424"/>
      <c r="F187" s="424"/>
      <c r="G187" s="424"/>
      <c r="H187" s="424"/>
      <c r="I187" s="424"/>
      <c r="J187" s="424"/>
      <c r="K187" s="424"/>
    </row>
    <row r="188" spans="2:11">
      <c r="B188" s="420"/>
      <c r="D188" s="423"/>
      <c r="E188" s="424"/>
      <c r="F188" s="424"/>
      <c r="G188" s="424"/>
      <c r="H188" s="424"/>
      <c r="I188" s="424"/>
      <c r="J188" s="424"/>
      <c r="K188" s="424"/>
    </row>
    <row r="189" spans="2:11">
      <c r="B189" s="420"/>
      <c r="D189" s="423"/>
      <c r="E189" s="424"/>
      <c r="F189" s="424"/>
      <c r="G189" s="424"/>
      <c r="H189" s="424"/>
      <c r="I189" s="424"/>
      <c r="J189" s="424"/>
      <c r="K189" s="424"/>
    </row>
    <row r="190" spans="2:11">
      <c r="B190" s="420"/>
      <c r="D190" s="423"/>
      <c r="E190" s="424"/>
      <c r="F190" s="424"/>
      <c r="G190" s="424"/>
      <c r="H190" s="424"/>
      <c r="I190" s="424"/>
      <c r="J190" s="424"/>
      <c r="K190" s="424"/>
    </row>
    <row r="191" spans="2:11">
      <c r="B191" s="420"/>
      <c r="D191" s="423"/>
      <c r="E191" s="424"/>
      <c r="F191" s="424"/>
      <c r="G191" s="424"/>
      <c r="H191" s="424"/>
      <c r="I191" s="424"/>
      <c r="J191" s="424"/>
      <c r="K191" s="424"/>
    </row>
    <row r="192" spans="2:11">
      <c r="B192" s="420"/>
      <c r="D192" s="423"/>
      <c r="E192" s="424"/>
      <c r="F192" s="424"/>
      <c r="G192" s="424"/>
      <c r="H192" s="424"/>
      <c r="I192" s="424"/>
      <c r="J192" s="424"/>
      <c r="K192" s="424"/>
    </row>
    <row r="193" spans="2:11">
      <c r="B193" s="420"/>
      <c r="D193" s="423"/>
      <c r="E193" s="424"/>
      <c r="F193" s="424"/>
      <c r="G193" s="424"/>
      <c r="H193" s="424"/>
      <c r="I193" s="424"/>
      <c r="J193" s="424"/>
      <c r="K193" s="424"/>
    </row>
    <row r="194" spans="2:11">
      <c r="B194" s="420"/>
      <c r="D194" s="423"/>
      <c r="E194" s="424"/>
      <c r="F194" s="424"/>
      <c r="G194" s="424"/>
      <c r="H194" s="424"/>
      <c r="I194" s="424"/>
      <c r="J194" s="424"/>
      <c r="K194" s="424"/>
    </row>
    <row r="195" spans="2:11">
      <c r="B195" s="420"/>
      <c r="D195" s="423"/>
      <c r="E195" s="424"/>
      <c r="F195" s="424"/>
      <c r="G195" s="424"/>
      <c r="H195" s="424"/>
      <c r="I195" s="424"/>
      <c r="J195" s="424"/>
      <c r="K195" s="424"/>
    </row>
    <row r="196" spans="2:11">
      <c r="B196" s="420"/>
      <c r="D196" s="423"/>
      <c r="E196" s="424"/>
      <c r="F196" s="424"/>
      <c r="G196" s="424"/>
      <c r="H196" s="424"/>
      <c r="I196" s="424"/>
      <c r="J196" s="424"/>
      <c r="K196" s="424"/>
    </row>
    <row r="197" spans="2:11">
      <c r="B197" s="420"/>
      <c r="D197" s="423"/>
      <c r="E197" s="424"/>
      <c r="F197" s="424"/>
      <c r="G197" s="424"/>
      <c r="H197" s="424"/>
      <c r="I197" s="424"/>
      <c r="J197" s="424"/>
      <c r="K197" s="424"/>
    </row>
    <row r="198" spans="2:11">
      <c r="B198" s="420"/>
      <c r="D198" s="423"/>
      <c r="E198" s="424"/>
      <c r="F198" s="424"/>
      <c r="G198" s="424"/>
      <c r="H198" s="424"/>
      <c r="I198" s="424"/>
      <c r="J198" s="424"/>
      <c r="K198" s="424"/>
    </row>
    <row r="199" spans="2:11">
      <c r="B199" s="420"/>
      <c r="D199" s="423"/>
      <c r="E199" s="424"/>
      <c r="F199" s="424"/>
      <c r="G199" s="424"/>
      <c r="H199" s="424"/>
      <c r="I199" s="424"/>
      <c r="J199" s="424"/>
      <c r="K199" s="424"/>
    </row>
    <row r="200" spans="2:11">
      <c r="B200" s="425"/>
    </row>
    <row r="201" spans="2:11">
      <c r="B201" s="425"/>
    </row>
    <row r="202" spans="2:11">
      <c r="B202" s="425"/>
    </row>
    <row r="203" spans="2:11">
      <c r="B203" s="425"/>
    </row>
    <row r="204" spans="2:11">
      <c r="B204" s="425"/>
    </row>
    <row r="205" spans="2:11">
      <c r="B205" s="425"/>
    </row>
    <row r="206" spans="2:11">
      <c r="B206" s="425"/>
    </row>
    <row r="207" spans="2:11">
      <c r="B207" s="425"/>
    </row>
    <row r="208" spans="2:11">
      <c r="B208" s="425"/>
    </row>
    <row r="209" spans="2:2">
      <c r="B209" s="425"/>
    </row>
    <row r="210" spans="2:2">
      <c r="B210" s="425"/>
    </row>
    <row r="211" spans="2:2">
      <c r="B211" s="425"/>
    </row>
    <row r="212" spans="2:2">
      <c r="B212" s="425"/>
    </row>
    <row r="213" spans="2:2">
      <c r="B213" s="425"/>
    </row>
    <row r="214" spans="2:2">
      <c r="B214" s="425"/>
    </row>
    <row r="215" spans="2:2">
      <c r="B215" s="425"/>
    </row>
    <row r="216" spans="2:2">
      <c r="B216" s="425"/>
    </row>
    <row r="217" spans="2:2">
      <c r="B217" s="425"/>
    </row>
    <row r="218" spans="2:2">
      <c r="B218" s="425"/>
    </row>
    <row r="219" spans="2:2">
      <c r="B219" s="425"/>
    </row>
    <row r="220" spans="2:2">
      <c r="B220" s="425"/>
    </row>
    <row r="221" spans="2:2">
      <c r="B221" s="425"/>
    </row>
    <row r="222" spans="2:2">
      <c r="B222" s="425"/>
    </row>
    <row r="223" spans="2:2">
      <c r="B223" s="425"/>
    </row>
    <row r="224" spans="2:2">
      <c r="B224" s="425"/>
    </row>
    <row r="225" spans="2:2">
      <c r="B225" s="425"/>
    </row>
    <row r="226" spans="2:2">
      <c r="B226" s="425"/>
    </row>
    <row r="227" spans="2:2">
      <c r="B227" s="425"/>
    </row>
    <row r="228" spans="2:2">
      <c r="B228" s="425"/>
    </row>
    <row r="229" spans="2:2">
      <c r="B229" s="425"/>
    </row>
    <row r="230" spans="2:2">
      <c r="B230" s="425"/>
    </row>
    <row r="231" spans="2:2">
      <c r="B231" s="425"/>
    </row>
    <row r="232" spans="2:2">
      <c r="B232" s="425"/>
    </row>
    <row r="233" spans="2:2">
      <c r="B233" s="425"/>
    </row>
    <row r="234" spans="2:2">
      <c r="B234" s="425"/>
    </row>
    <row r="235" spans="2:2">
      <c r="B235" s="425"/>
    </row>
    <row r="236" spans="2:2">
      <c r="B236" s="425"/>
    </row>
    <row r="237" spans="2:2">
      <c r="B237" s="425"/>
    </row>
    <row r="238" spans="2:2">
      <c r="B238" s="425"/>
    </row>
    <row r="239" spans="2:2">
      <c r="B239" s="425"/>
    </row>
    <row r="240" spans="2:2">
      <c r="B240" s="425"/>
    </row>
    <row r="241" spans="2:2">
      <c r="B241" s="425"/>
    </row>
    <row r="242" spans="2:2">
      <c r="B242" s="425"/>
    </row>
    <row r="243" spans="2:2">
      <c r="B243" s="425"/>
    </row>
    <row r="244" spans="2:2">
      <c r="B244" s="425"/>
    </row>
    <row r="245" spans="2:2">
      <c r="B245" s="425"/>
    </row>
    <row r="246" spans="2:2">
      <c r="B246" s="425"/>
    </row>
    <row r="247" spans="2:2">
      <c r="B247" s="425"/>
    </row>
    <row r="248" spans="2:2">
      <c r="B248" s="425"/>
    </row>
    <row r="249" spans="2:2">
      <c r="B249" s="425"/>
    </row>
    <row r="250" spans="2:2">
      <c r="B250" s="425"/>
    </row>
    <row r="251" spans="2:2">
      <c r="B251" s="425"/>
    </row>
    <row r="252" spans="2:2">
      <c r="B252" s="425"/>
    </row>
    <row r="253" spans="2:2">
      <c r="B253" s="425"/>
    </row>
    <row r="254" spans="2:2">
      <c r="B254" s="425"/>
    </row>
    <row r="255" spans="2:2">
      <c r="B255" s="425"/>
    </row>
    <row r="256" spans="2:2">
      <c r="B256" s="425"/>
    </row>
    <row r="257" spans="2:2">
      <c r="B257" s="425"/>
    </row>
    <row r="258" spans="2:2">
      <c r="B258" s="425"/>
    </row>
    <row r="259" spans="2:2">
      <c r="B259" s="425"/>
    </row>
    <row r="260" spans="2:2">
      <c r="B260" s="425"/>
    </row>
    <row r="261" spans="2:2">
      <c r="B261" s="425"/>
    </row>
    <row r="262" spans="2:2">
      <c r="B262" s="425"/>
    </row>
    <row r="263" spans="2:2">
      <c r="B263" s="425"/>
    </row>
    <row r="264" spans="2:2">
      <c r="B264" s="425"/>
    </row>
    <row r="265" spans="2:2">
      <c r="B265" s="425"/>
    </row>
    <row r="266" spans="2:2">
      <c r="B266" s="425"/>
    </row>
    <row r="267" spans="2:2">
      <c r="B267" s="425"/>
    </row>
    <row r="268" spans="2:2">
      <c r="B268" s="425"/>
    </row>
    <row r="269" spans="2:2">
      <c r="B269" s="425"/>
    </row>
    <row r="270" spans="2:2">
      <c r="B270" s="425"/>
    </row>
    <row r="271" spans="2:2">
      <c r="B271" s="425"/>
    </row>
    <row r="272" spans="2:2">
      <c r="B272" s="425"/>
    </row>
    <row r="273" spans="2:2">
      <c r="B273" s="425"/>
    </row>
    <row r="274" spans="2:2">
      <c r="B274" s="425"/>
    </row>
    <row r="275" spans="2:2">
      <c r="B275" s="425"/>
    </row>
    <row r="276" spans="2:2">
      <c r="B276" s="425"/>
    </row>
    <row r="277" spans="2:2">
      <c r="B277" s="425"/>
    </row>
    <row r="278" spans="2:2">
      <c r="B278" s="425"/>
    </row>
    <row r="279" spans="2:2">
      <c r="B279" s="425"/>
    </row>
    <row r="280" spans="2:2">
      <c r="B280" s="425"/>
    </row>
    <row r="281" spans="2:2">
      <c r="B281" s="425"/>
    </row>
    <row r="282" spans="2:2">
      <c r="B282" s="425"/>
    </row>
    <row r="283" spans="2:2">
      <c r="B283" s="425"/>
    </row>
    <row r="284" spans="2:2">
      <c r="B284" s="425"/>
    </row>
    <row r="285" spans="2:2">
      <c r="B285" s="425"/>
    </row>
    <row r="286" spans="2:2">
      <c r="B286" s="425"/>
    </row>
    <row r="287" spans="2:2">
      <c r="B287" s="425"/>
    </row>
    <row r="288" spans="2:2">
      <c r="B288" s="425"/>
    </row>
    <row r="289" spans="2:2">
      <c r="B289" s="425"/>
    </row>
    <row r="290" spans="2:2">
      <c r="B290" s="425"/>
    </row>
    <row r="291" spans="2:2">
      <c r="B291" s="425"/>
    </row>
    <row r="292" spans="2:2">
      <c r="B292" s="425"/>
    </row>
    <row r="293" spans="2:2">
      <c r="B293" s="425"/>
    </row>
    <row r="294" spans="2:2">
      <c r="B294" s="425"/>
    </row>
    <row r="295" spans="2:2">
      <c r="B295" s="425"/>
    </row>
    <row r="296" spans="2:2">
      <c r="B296" s="425"/>
    </row>
    <row r="297" spans="2:2">
      <c r="B297" s="425"/>
    </row>
    <row r="298" spans="2:2">
      <c r="B298" s="425"/>
    </row>
    <row r="299" spans="2:2">
      <c r="B299" s="425"/>
    </row>
    <row r="300" spans="2:2">
      <c r="B300" s="425"/>
    </row>
    <row r="301" spans="2:2">
      <c r="B301" s="425"/>
    </row>
    <row r="302" spans="2:2">
      <c r="B302" s="425"/>
    </row>
    <row r="303" spans="2:2">
      <c r="B303" s="425"/>
    </row>
    <row r="304" spans="2:2">
      <c r="B304" s="425"/>
    </row>
    <row r="305" spans="2:2">
      <c r="B305" s="425"/>
    </row>
    <row r="306" spans="2:2">
      <c r="B306" s="425"/>
    </row>
    <row r="307" spans="2:2">
      <c r="B307" s="425"/>
    </row>
    <row r="308" spans="2:2">
      <c r="B308" s="425"/>
    </row>
    <row r="309" spans="2:2">
      <c r="B309" s="425"/>
    </row>
    <row r="310" spans="2:2">
      <c r="B310" s="425"/>
    </row>
    <row r="311" spans="2:2">
      <c r="B311" s="425"/>
    </row>
    <row r="312" spans="2:2">
      <c r="B312" s="425"/>
    </row>
    <row r="313" spans="2:2">
      <c r="B313" s="425"/>
    </row>
    <row r="314" spans="2:2">
      <c r="B314" s="425"/>
    </row>
    <row r="315" spans="2:2">
      <c r="B315" s="425"/>
    </row>
    <row r="316" spans="2:2">
      <c r="B316" s="425"/>
    </row>
    <row r="317" spans="2:2">
      <c r="B317" s="425"/>
    </row>
    <row r="318" spans="2:2">
      <c r="B318" s="425"/>
    </row>
    <row r="319" spans="2:2">
      <c r="B319" s="425"/>
    </row>
    <row r="320" spans="2:2">
      <c r="B320" s="425"/>
    </row>
    <row r="321" spans="2:2">
      <c r="B321" s="425"/>
    </row>
    <row r="322" spans="2:2">
      <c r="B322" s="425"/>
    </row>
    <row r="323" spans="2:2">
      <c r="B323" s="425"/>
    </row>
    <row r="324" spans="2:2">
      <c r="B324" s="425"/>
    </row>
    <row r="325" spans="2:2">
      <c r="B325" s="425"/>
    </row>
    <row r="326" spans="2:2">
      <c r="B326" s="425"/>
    </row>
    <row r="327" spans="2:2">
      <c r="B327" s="425"/>
    </row>
    <row r="328" spans="2:2">
      <c r="B328" s="425"/>
    </row>
    <row r="329" spans="2:2">
      <c r="B329" s="425"/>
    </row>
    <row r="330" spans="2:2">
      <c r="B330" s="425"/>
    </row>
    <row r="331" spans="2:2">
      <c r="B331" s="425"/>
    </row>
    <row r="332" spans="2:2">
      <c r="B332" s="425"/>
    </row>
    <row r="333" spans="2:2">
      <c r="B333" s="425"/>
    </row>
    <row r="334" spans="2:2">
      <c r="B334" s="425"/>
    </row>
    <row r="335" spans="2:2">
      <c r="B335" s="425"/>
    </row>
    <row r="336" spans="2:2">
      <c r="B336" s="425"/>
    </row>
    <row r="337" spans="2:2">
      <c r="B337" s="425"/>
    </row>
    <row r="338" spans="2:2">
      <c r="B338" s="425"/>
    </row>
    <row r="339" spans="2:2">
      <c r="B339" s="425"/>
    </row>
    <row r="340" spans="2:2">
      <c r="B340" s="425"/>
    </row>
    <row r="341" spans="2:2">
      <c r="B341" s="425"/>
    </row>
    <row r="342" spans="2:2">
      <c r="B342" s="425"/>
    </row>
    <row r="343" spans="2:2">
      <c r="B343" s="425"/>
    </row>
    <row r="344" spans="2:2">
      <c r="B344" s="425"/>
    </row>
    <row r="345" spans="2:2">
      <c r="B345" s="425"/>
    </row>
    <row r="346" spans="2:2">
      <c r="B346" s="425"/>
    </row>
    <row r="347" spans="2:2">
      <c r="B347" s="425"/>
    </row>
    <row r="348" spans="2:2">
      <c r="B348" s="425"/>
    </row>
    <row r="349" spans="2:2">
      <c r="B349" s="425"/>
    </row>
    <row r="350" spans="2:2">
      <c r="B350" s="425"/>
    </row>
    <row r="351" spans="2:2">
      <c r="B351" s="425"/>
    </row>
    <row r="352" spans="2:2">
      <c r="B352" s="425"/>
    </row>
    <row r="353" spans="2:2">
      <c r="B353" s="425"/>
    </row>
    <row r="354" spans="2:2">
      <c r="B354" s="425"/>
    </row>
    <row r="355" spans="2:2">
      <c r="B355" s="425"/>
    </row>
    <row r="356" spans="2:2">
      <c r="B356" s="425"/>
    </row>
    <row r="357" spans="2:2">
      <c r="B357" s="425"/>
    </row>
    <row r="358" spans="2:2">
      <c r="B358" s="425"/>
    </row>
    <row r="359" spans="2:2">
      <c r="B359" s="425"/>
    </row>
    <row r="360" spans="2:2">
      <c r="B360" s="425"/>
    </row>
    <row r="361" spans="2:2">
      <c r="B361" s="425"/>
    </row>
    <row r="362" spans="2:2">
      <c r="B362" s="425"/>
    </row>
    <row r="363" spans="2:2">
      <c r="B363" s="425"/>
    </row>
    <row r="364" spans="2:2">
      <c r="B364" s="425"/>
    </row>
    <row r="365" spans="2:2">
      <c r="B365" s="425"/>
    </row>
    <row r="366" spans="2:2">
      <c r="B366" s="425"/>
    </row>
  </sheetData>
  <mergeCells count="59">
    <mergeCell ref="I23:J23"/>
    <mergeCell ref="I12:J12"/>
    <mergeCell ref="I13:J13"/>
    <mergeCell ref="I14:J14"/>
    <mergeCell ref="I16:K16"/>
    <mergeCell ref="I19:J19"/>
    <mergeCell ref="I15:J15"/>
    <mergeCell ref="C22:H22"/>
    <mergeCell ref="I22:J22"/>
    <mergeCell ref="C19:H19"/>
    <mergeCell ref="I18:K18"/>
    <mergeCell ref="C20:H20"/>
    <mergeCell ref="C21:H21"/>
    <mergeCell ref="C18:H18"/>
    <mergeCell ref="I21:J21"/>
    <mergeCell ref="I20:J20"/>
    <mergeCell ref="C23:H23"/>
    <mergeCell ref="C25:H25"/>
    <mergeCell ref="B83:K83"/>
    <mergeCell ref="B38:K38"/>
    <mergeCell ref="B37:K37"/>
    <mergeCell ref="C26:H26"/>
    <mergeCell ref="I24:J24"/>
    <mergeCell ref="C24:H24"/>
    <mergeCell ref="I25:J25"/>
    <mergeCell ref="I26:J26"/>
    <mergeCell ref="C28:H28"/>
    <mergeCell ref="I28:J28"/>
    <mergeCell ref="E34:E35"/>
    <mergeCell ref="C29:H29"/>
    <mergeCell ref="B32:K32"/>
    <mergeCell ref="B34:B35"/>
    <mergeCell ref="I30:J30"/>
    <mergeCell ref="C34:C35"/>
    <mergeCell ref="B51:K51"/>
    <mergeCell ref="B89:K89"/>
    <mergeCell ref="B113:K113"/>
    <mergeCell ref="B90:K90"/>
    <mergeCell ref="B84:K84"/>
    <mergeCell ref="B119:K119"/>
    <mergeCell ref="I27:J27"/>
    <mergeCell ref="C30:H30"/>
    <mergeCell ref="C27:H27"/>
    <mergeCell ref="D54:K54"/>
    <mergeCell ref="D34:D35"/>
    <mergeCell ref="G34:G35"/>
    <mergeCell ref="I29:J29"/>
    <mergeCell ref="F34:F35"/>
    <mergeCell ref="H34:K34"/>
    <mergeCell ref="B125:K125"/>
    <mergeCell ref="B118:K118"/>
    <mergeCell ref="B100:K100"/>
    <mergeCell ref="D158:G158"/>
    <mergeCell ref="I158:K158"/>
    <mergeCell ref="D157:G157"/>
    <mergeCell ref="I157:K157"/>
    <mergeCell ref="B101:K101"/>
    <mergeCell ref="B112:K112"/>
    <mergeCell ref="B126:K126"/>
  </mergeCells>
  <phoneticPr fontId="0" type="noConversion"/>
  <conditionalFormatting sqref="D82:K82">
    <cfRule type="cellIs" dxfId="20" priority="27" operator="lessThanOrEqual">
      <formula>0</formula>
    </cfRule>
  </conditionalFormatting>
  <conditionalFormatting sqref="D58:G79 G91 D127:G154 G55:G57 D54 D85:G88 D55:F79 D39:G50 D52:G53 H76:K77 H81:K81 D102:K111 H142:K147 F74:K75 H129:K129 H55:K56 D92:G99 D80 F80:G80 D81:G82">
    <cfRule type="notContainsBlanks" dxfId="19" priority="26">
      <formula>LEN(TRIM(D39))&gt;0</formula>
    </cfRule>
  </conditionalFormatting>
  <pageMargins left="0.39370078740157483" right="0" top="0" bottom="0" header="0" footer="0"/>
  <pageSetup paperSize="9" scale="33" fitToHeight="2" orientation="portrait" blackAndWhite="1" r:id="rId1"/>
  <headerFooter alignWithMargins="0"/>
  <rowBreaks count="1" manualBreakCount="1">
    <brk id="82" min="1" max="11" man="1"/>
  </rowBreaks>
  <ignoredErrors>
    <ignoredError sqref="I82:J82 I80:K80 G143 G145:G147 J81:K81" evalError="1"/>
    <ignoredError sqref="G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2"/>
  <sheetViews>
    <sheetView showGridLines="0" view="pageBreakPreview" zoomScale="50" zoomScaleNormal="50" zoomScaleSheetLayoutView="50" workbookViewId="0">
      <selection activeCell="J32" sqref="J32"/>
    </sheetView>
  </sheetViews>
  <sheetFormatPr defaultColWidth="8.85546875" defaultRowHeight="15" outlineLevelCol="1"/>
  <cols>
    <col min="1" max="1" width="11.42578125" style="39" customWidth="1"/>
    <col min="2" max="2" width="6.140625" style="34" bestFit="1" customWidth="1"/>
    <col min="3" max="3" width="175.7109375" style="34" customWidth="1"/>
    <col min="4" max="5" width="29.140625" style="34" bestFit="1" customWidth="1"/>
    <col min="6" max="6" width="28.42578125" style="34" customWidth="1" outlineLevel="1"/>
    <col min="7" max="7" width="30.42578125" style="34" bestFit="1" customWidth="1" outlineLevel="1"/>
    <col min="8" max="8" width="29" style="34" bestFit="1" customWidth="1" outlineLevel="1"/>
    <col min="9" max="9" width="21.5703125" style="34" bestFit="1" customWidth="1" outlineLevel="1"/>
    <col min="10" max="10" width="17.5703125" style="34" bestFit="1" customWidth="1" outlineLevel="1"/>
    <col min="11" max="11" width="14.5703125" style="35" bestFit="1" customWidth="1"/>
    <col min="12" max="12" width="17.5703125" style="34" bestFit="1" customWidth="1" outlineLevel="1"/>
    <col min="13" max="13" width="14.5703125" style="34" bestFit="1" customWidth="1" outlineLevel="1"/>
    <col min="14" max="14" width="20.7109375" style="34" bestFit="1" customWidth="1" outlineLevel="1"/>
    <col min="15" max="15" width="17.5703125" style="34" bestFit="1" customWidth="1" outlineLevel="1"/>
    <col min="16" max="16" width="18.7109375" style="35" customWidth="1"/>
    <col min="17" max="17" width="18.7109375" style="34" customWidth="1"/>
    <col min="18" max="18" width="17" style="34" customWidth="1" outlineLevel="1"/>
    <col min="19" max="19" width="21.42578125" style="34" customWidth="1" outlineLevel="1"/>
    <col min="20" max="22" width="17" style="34" customWidth="1" outlineLevel="1"/>
    <col min="23" max="23" width="22.28515625" style="35" customWidth="1"/>
    <col min="24" max="24" width="19.7109375" style="34" customWidth="1"/>
    <col min="25" max="25" width="53.7109375" style="34" customWidth="1"/>
    <col min="26" max="26" width="31.85546875" style="34" customWidth="1"/>
    <col min="27" max="27" width="37.42578125" style="34" customWidth="1"/>
    <col min="28" max="28" width="24.28515625" style="34" customWidth="1"/>
    <col min="29" max="29" width="34.7109375" style="36" customWidth="1"/>
    <col min="30" max="33" width="20.28515625" style="34" customWidth="1"/>
    <col min="34" max="34" width="20.28515625" style="37" customWidth="1"/>
    <col min="35" max="35" width="15.5703125" style="34" customWidth="1"/>
    <col min="36" max="40" width="16" style="34" customWidth="1"/>
    <col min="41" max="41" width="18.42578125" style="34" customWidth="1"/>
    <col min="42" max="46" width="13.7109375" style="34" customWidth="1"/>
    <col min="47" max="47" width="18.28515625" style="34" customWidth="1"/>
    <col min="48" max="53" width="15.5703125" style="34" customWidth="1"/>
    <col min="54" max="16384" width="8.85546875" style="34"/>
  </cols>
  <sheetData>
    <row r="1" spans="1:34" s="55" customFormat="1" ht="21.75">
      <c r="A1" s="54"/>
      <c r="K1" s="622"/>
      <c r="L1" s="621"/>
      <c r="M1" s="621"/>
      <c r="N1" s="621"/>
      <c r="P1" s="57"/>
      <c r="W1" s="57"/>
      <c r="AC1" s="58"/>
      <c r="AH1" s="56"/>
    </row>
    <row r="2" spans="1:34" s="36" customFormat="1" ht="45">
      <c r="A2" s="53"/>
      <c r="B2" s="939" t="s">
        <v>1386</v>
      </c>
      <c r="C2" s="939"/>
      <c r="D2" s="939"/>
      <c r="E2" s="939"/>
      <c r="F2" s="939"/>
      <c r="G2" s="939"/>
      <c r="H2" s="50"/>
      <c r="I2" s="130"/>
      <c r="J2" s="51"/>
      <c r="K2" s="622"/>
      <c r="L2" s="621"/>
      <c r="M2" s="621"/>
      <c r="N2" s="621"/>
      <c r="AH2" s="38"/>
    </row>
    <row r="3" spans="1:34" s="58" customFormat="1" ht="27.75">
      <c r="A3" s="116"/>
      <c r="B3" s="940" t="s">
        <v>1426</v>
      </c>
      <c r="C3" s="940"/>
      <c r="D3" s="123" t="s">
        <v>1521</v>
      </c>
      <c r="E3" s="123" t="s">
        <v>1522</v>
      </c>
      <c r="F3" s="123" t="s">
        <v>1523</v>
      </c>
      <c r="G3" s="123" t="s">
        <v>1524</v>
      </c>
      <c r="H3" s="123" t="s">
        <v>1525</v>
      </c>
      <c r="I3" s="130"/>
      <c r="J3" s="51"/>
      <c r="K3" s="622"/>
      <c r="L3" s="621"/>
      <c r="M3" s="621"/>
      <c r="N3" s="621"/>
      <c r="AH3" s="117"/>
    </row>
    <row r="4" spans="1:34" s="75" customFormat="1" ht="51.75" customHeight="1">
      <c r="A4" s="118"/>
      <c r="B4" s="936" t="s">
        <v>1763</v>
      </c>
      <c r="C4" s="936"/>
      <c r="D4" s="598">
        <f>SUM(D5:D19)</f>
        <v>14647647.26</v>
      </c>
      <c r="E4" s="598">
        <f>SUM(E5:E19)</f>
        <v>14647647.263333332</v>
      </c>
      <c r="F4" s="598">
        <f>SUM(F5:F19)</f>
        <v>14647647.263333332</v>
      </c>
      <c r="G4" s="598">
        <f>SUM(G5:G19)</f>
        <v>14647647.263333332</v>
      </c>
      <c r="H4" s="598">
        <f>D4+E4+F4+G4</f>
        <v>58590589.049999997</v>
      </c>
      <c r="I4" s="130"/>
      <c r="J4" s="51"/>
      <c r="K4" s="622"/>
      <c r="L4" s="621"/>
      <c r="M4" s="621"/>
      <c r="N4" s="621"/>
    </row>
    <row r="5" spans="1:34" s="120" customFormat="1" ht="27.75">
      <c r="A5" s="119"/>
      <c r="B5" s="124">
        <v>3</v>
      </c>
      <c r="C5" s="125" t="s">
        <v>1753</v>
      </c>
      <c r="D5" s="845">
        <v>2777539.69</v>
      </c>
      <c r="E5" s="845">
        <v>2777539.69</v>
      </c>
      <c r="F5" s="845">
        <v>2777539.69</v>
      </c>
      <c r="G5" s="845">
        <v>2777539.69</v>
      </c>
      <c r="H5" s="594">
        <f>D5+E5+F5+G5</f>
        <v>11110158.76</v>
      </c>
      <c r="I5" s="624"/>
      <c r="J5" s="624"/>
      <c r="K5" s="624"/>
      <c r="L5" s="624"/>
      <c r="M5" s="621"/>
      <c r="N5" s="621"/>
      <c r="O5" s="75"/>
    </row>
    <row r="6" spans="1:34" s="120" customFormat="1" ht="27.75">
      <c r="A6" s="119"/>
      <c r="B6" s="124">
        <v>4</v>
      </c>
      <c r="C6" s="126" t="s">
        <v>1754</v>
      </c>
      <c r="D6" s="845">
        <f>26433434.11/4</f>
        <v>6608358.5274999999</v>
      </c>
      <c r="E6" s="845">
        <f>26433434.11/4</f>
        <v>6608358.5274999999</v>
      </c>
      <c r="F6" s="845">
        <f>26433434.11/4</f>
        <v>6608358.5274999999</v>
      </c>
      <c r="G6" s="845">
        <f>26433434.11/4</f>
        <v>6608358.5274999999</v>
      </c>
      <c r="H6" s="594">
        <f t="shared" ref="H6:H18" si="0">D6+E6+F6+G6</f>
        <v>26433434.109999999</v>
      </c>
      <c r="I6" s="624"/>
      <c r="J6" s="624"/>
      <c r="K6" s="624"/>
      <c r="L6" s="624"/>
      <c r="M6" s="621"/>
      <c r="N6" s="621"/>
      <c r="O6" s="75"/>
    </row>
    <row r="7" spans="1:34" s="120" customFormat="1" ht="27.75">
      <c r="A7" s="119"/>
      <c r="B7" s="127">
        <v>7</v>
      </c>
      <c r="C7" s="126" t="s">
        <v>1755</v>
      </c>
      <c r="D7" s="599"/>
      <c r="E7" s="599"/>
      <c r="F7" s="599"/>
      <c r="G7" s="599"/>
      <c r="H7" s="599">
        <f t="shared" si="0"/>
        <v>0</v>
      </c>
      <c r="I7" s="624"/>
      <c r="J7" s="624"/>
      <c r="K7" s="624"/>
      <c r="L7" s="624"/>
      <c r="M7" s="621"/>
      <c r="N7" s="621"/>
      <c r="O7" s="75"/>
    </row>
    <row r="8" spans="1:34" s="120" customFormat="1" ht="55.5">
      <c r="A8" s="119"/>
      <c r="B8" s="852">
        <v>9</v>
      </c>
      <c r="C8" s="126" t="s">
        <v>1756</v>
      </c>
      <c r="D8" s="845">
        <f>16864216.65/4</f>
        <v>4216054.1624999996</v>
      </c>
      <c r="E8" s="845">
        <f>16864216.65/4</f>
        <v>4216054.1624999996</v>
      </c>
      <c r="F8" s="845">
        <f>16864216.65/4</f>
        <v>4216054.1624999996</v>
      </c>
      <c r="G8" s="845">
        <f>16864216.65/4</f>
        <v>4216054.1624999996</v>
      </c>
      <c r="H8" s="845">
        <f t="shared" si="0"/>
        <v>16864216.649999999</v>
      </c>
      <c r="I8" s="624"/>
      <c r="J8" s="624"/>
      <c r="K8" s="624"/>
      <c r="L8" s="624"/>
      <c r="M8" s="621"/>
      <c r="N8" s="621"/>
      <c r="O8" s="75"/>
    </row>
    <row r="9" spans="1:34" s="120" customFormat="1" ht="27.75">
      <c r="A9" s="119"/>
      <c r="B9" s="127">
        <v>11</v>
      </c>
      <c r="C9" s="126" t="s">
        <v>1757</v>
      </c>
      <c r="D9" s="845">
        <v>10977.25</v>
      </c>
      <c r="E9" s="845">
        <v>10977.25</v>
      </c>
      <c r="F9" s="845">
        <v>10977.25</v>
      </c>
      <c r="G9" s="845">
        <v>10977.25</v>
      </c>
      <c r="H9" s="599">
        <f>D9+E9+F9+G9</f>
        <v>43909</v>
      </c>
      <c r="I9" s="624"/>
      <c r="J9" s="624"/>
      <c r="K9" s="624"/>
      <c r="L9" s="624"/>
      <c r="M9" s="621"/>
      <c r="N9" s="621"/>
      <c r="O9" s="75"/>
    </row>
    <row r="10" spans="1:34" s="120" customFormat="1" ht="27.75">
      <c r="A10" s="119"/>
      <c r="B10" s="127">
        <v>12</v>
      </c>
      <c r="C10" s="126" t="s">
        <v>197</v>
      </c>
      <c r="D10" s="845">
        <v>2829</v>
      </c>
      <c r="E10" s="845">
        <v>2829</v>
      </c>
      <c r="F10" s="845">
        <v>2829</v>
      </c>
      <c r="G10" s="845">
        <v>2829</v>
      </c>
      <c r="H10" s="599">
        <f>D10+E10+F10+G10</f>
        <v>11316</v>
      </c>
      <c r="I10" s="624"/>
      <c r="J10" s="624"/>
      <c r="K10" s="624"/>
      <c r="L10" s="624"/>
      <c r="M10" s="621"/>
      <c r="N10" s="621"/>
      <c r="O10" s="75"/>
    </row>
    <row r="11" spans="1:34" s="120" customFormat="1" ht="27.75">
      <c r="A11" s="119"/>
      <c r="B11" s="127">
        <v>23</v>
      </c>
      <c r="C11" s="126" t="s">
        <v>1758</v>
      </c>
      <c r="D11" s="845">
        <v>42140.25</v>
      </c>
      <c r="E11" s="845">
        <v>42140.25</v>
      </c>
      <c r="F11" s="845">
        <v>42140.25</v>
      </c>
      <c r="G11" s="845">
        <v>42140.25</v>
      </c>
      <c r="H11" s="599">
        <f>D11+E11+F11+G11</f>
        <v>168561</v>
      </c>
      <c r="I11" s="624"/>
      <c r="J11" s="624"/>
      <c r="K11" s="624"/>
      <c r="L11" s="624"/>
      <c r="M11" s="621"/>
      <c r="N11" s="621"/>
      <c r="O11" s="75"/>
    </row>
    <row r="12" spans="1:34" s="120" customFormat="1" ht="27.75">
      <c r="A12" s="119"/>
      <c r="B12" s="127">
        <v>24</v>
      </c>
      <c r="C12" s="126" t="s">
        <v>1759</v>
      </c>
      <c r="D12" s="845">
        <v>12998.63</v>
      </c>
      <c r="E12" s="845">
        <f>(51994.53-$D$12)/3</f>
        <v>12998.633333333333</v>
      </c>
      <c r="F12" s="845">
        <f>(51994.53-$D$12)/3</f>
        <v>12998.633333333333</v>
      </c>
      <c r="G12" s="845">
        <f>(51994.53-$D$12)/3</f>
        <v>12998.633333333333</v>
      </c>
      <c r="H12" s="594">
        <f>D12+E12+F12+G12</f>
        <v>51994.53</v>
      </c>
      <c r="I12" s="624"/>
      <c r="J12" s="624"/>
      <c r="K12" s="624"/>
      <c r="L12" s="624"/>
      <c r="M12" s="621"/>
      <c r="N12" s="621"/>
      <c r="O12" s="75"/>
    </row>
    <row r="13" spans="1:34" s="120" customFormat="1" ht="27.75">
      <c r="A13" s="119"/>
      <c r="B13" s="127">
        <v>34</v>
      </c>
      <c r="C13" s="126" t="s">
        <v>1760</v>
      </c>
      <c r="D13" s="845">
        <v>180180</v>
      </c>
      <c r="E13" s="845">
        <v>180180</v>
      </c>
      <c r="F13" s="845">
        <v>180180</v>
      </c>
      <c r="G13" s="845">
        <v>180180</v>
      </c>
      <c r="H13" s="599">
        <f t="shared" si="0"/>
        <v>720720</v>
      </c>
      <c r="I13" s="624"/>
      <c r="J13" s="624"/>
      <c r="K13" s="624"/>
      <c r="L13" s="624"/>
      <c r="M13" s="621"/>
      <c r="N13" s="621"/>
      <c r="O13" s="75"/>
    </row>
    <row r="14" spans="1:34" s="120" customFormat="1" ht="27.75">
      <c r="A14" s="119"/>
      <c r="B14" s="127">
        <v>35</v>
      </c>
      <c r="C14" s="126" t="s">
        <v>1761</v>
      </c>
      <c r="D14" s="845">
        <v>171348</v>
      </c>
      <c r="E14" s="845">
        <v>171348</v>
      </c>
      <c r="F14" s="845">
        <v>171348</v>
      </c>
      <c r="G14" s="845">
        <v>171348</v>
      </c>
      <c r="H14" s="599">
        <f t="shared" si="0"/>
        <v>685392</v>
      </c>
      <c r="I14" s="624"/>
      <c r="J14" s="624"/>
      <c r="K14" s="624"/>
      <c r="L14" s="624"/>
      <c r="M14" s="621"/>
      <c r="N14" s="621"/>
      <c r="O14" s="75"/>
    </row>
    <row r="15" spans="1:34" s="120" customFormat="1" ht="27.75">
      <c r="A15" s="119"/>
      <c r="B15" s="127">
        <v>47</v>
      </c>
      <c r="C15" s="126" t="s">
        <v>1762</v>
      </c>
      <c r="D15" s="599"/>
      <c r="E15" s="599"/>
      <c r="F15" s="599"/>
      <c r="G15" s="599"/>
      <c r="H15" s="599">
        <f t="shared" si="0"/>
        <v>0</v>
      </c>
      <c r="I15" s="624"/>
      <c r="J15" s="624"/>
      <c r="K15" s="624"/>
      <c r="L15" s="624"/>
      <c r="M15" s="621"/>
      <c r="N15" s="621"/>
      <c r="O15" s="75"/>
    </row>
    <row r="16" spans="1:34" s="120" customFormat="1" ht="27.75">
      <c r="A16" s="121"/>
      <c r="B16" s="128">
        <v>53</v>
      </c>
      <c r="C16" s="126" t="s">
        <v>194</v>
      </c>
      <c r="D16" s="599"/>
      <c r="E16" s="599"/>
      <c r="F16" s="599"/>
      <c r="G16" s="599"/>
      <c r="H16" s="599">
        <f t="shared" si="0"/>
        <v>0</v>
      </c>
      <c r="I16" s="624"/>
      <c r="J16" s="624"/>
      <c r="K16" s="624"/>
      <c r="L16" s="624"/>
      <c r="M16" s="621"/>
      <c r="N16" s="621"/>
      <c r="O16" s="75"/>
    </row>
    <row r="17" spans="1:34" s="120" customFormat="1" ht="27.75">
      <c r="A17" s="121"/>
      <c r="B17" s="128">
        <v>54</v>
      </c>
      <c r="C17" s="126" t="s">
        <v>195</v>
      </c>
      <c r="D17" s="845">
        <v>375995</v>
      </c>
      <c r="E17" s="845">
        <v>375995</v>
      </c>
      <c r="F17" s="845">
        <v>375995</v>
      </c>
      <c r="G17" s="845">
        <v>375995</v>
      </c>
      <c r="H17" s="599">
        <f>D17+E17+F17+G17</f>
        <v>1503980</v>
      </c>
      <c r="I17" s="624"/>
      <c r="J17" s="624"/>
      <c r="K17" s="624"/>
      <c r="L17" s="624"/>
      <c r="M17" s="621"/>
      <c r="N17" s="621"/>
      <c r="O17" s="75"/>
    </row>
    <row r="18" spans="1:34" s="120" customFormat="1" ht="27.75">
      <c r="A18" s="121"/>
      <c r="B18" s="128">
        <v>60</v>
      </c>
      <c r="C18" s="126" t="s">
        <v>198</v>
      </c>
      <c r="D18" s="845">
        <v>249226.75</v>
      </c>
      <c r="E18" s="845">
        <v>249226.75</v>
      </c>
      <c r="F18" s="845">
        <v>249226.75</v>
      </c>
      <c r="G18" s="845">
        <v>249226.75</v>
      </c>
      <c r="H18" s="594">
        <f t="shared" si="0"/>
        <v>996907</v>
      </c>
      <c r="I18" s="624"/>
      <c r="J18" s="624"/>
      <c r="K18" s="624"/>
      <c r="L18" s="624"/>
      <c r="M18" s="621"/>
      <c r="N18" s="621"/>
      <c r="O18" s="75"/>
    </row>
    <row r="19" spans="1:34" s="76" customFormat="1" ht="59.25" customHeight="1">
      <c r="A19" s="122"/>
      <c r="B19" s="124"/>
      <c r="C19" s="610" t="s">
        <v>1764</v>
      </c>
      <c r="D19" s="599">
        <v>0</v>
      </c>
      <c r="E19" s="599">
        <v>0</v>
      </c>
      <c r="F19" s="599">
        <v>0</v>
      </c>
      <c r="G19" s="599">
        <v>0</v>
      </c>
      <c r="H19" s="599">
        <f>D19+E19+F19+G19</f>
        <v>0</v>
      </c>
      <c r="I19" s="624"/>
      <c r="J19" s="624"/>
      <c r="K19" s="624"/>
      <c r="L19" s="624"/>
      <c r="M19" s="621"/>
      <c r="N19" s="621"/>
      <c r="O19" s="75"/>
    </row>
    <row r="20" spans="1:34" s="75" customFormat="1" ht="27" customHeight="1">
      <c r="A20" s="118"/>
      <c r="B20" s="935" t="s">
        <v>1387</v>
      </c>
      <c r="C20" s="935"/>
      <c r="D20" s="595">
        <f>D26</f>
        <v>2494056.1683050808</v>
      </c>
      <c r="E20" s="595">
        <f>E26</f>
        <v>941445.3638633925</v>
      </c>
      <c r="F20" s="595">
        <f>F26</f>
        <v>747955.45292928687</v>
      </c>
      <c r="G20" s="595">
        <f>G26</f>
        <v>2161476.3635682506</v>
      </c>
      <c r="H20" s="595">
        <f>D20+E20+F20+G20</f>
        <v>6344933.3486660104</v>
      </c>
      <c r="I20" s="624"/>
      <c r="J20" s="624"/>
      <c r="K20" s="624"/>
      <c r="L20" s="624"/>
      <c r="M20" s="621"/>
      <c r="N20" s="621"/>
      <c r="O20" s="254"/>
    </row>
    <row r="21" spans="1:34" s="75" customFormat="1" ht="27">
      <c r="A21" s="118"/>
      <c r="B21" s="935" t="s">
        <v>1765</v>
      </c>
      <c r="C21" s="935"/>
      <c r="D21" s="595">
        <f>D30+D32+D33+D34+D31</f>
        <v>783346.38308407727</v>
      </c>
      <c r="E21" s="595">
        <f>E30+E32+E33+E34+E31</f>
        <v>497780.01365549571</v>
      </c>
      <c r="F21" s="595">
        <f>F30+F32+F33+F34+F31</f>
        <v>461700.44028194732</v>
      </c>
      <c r="G21" s="595">
        <f>G30+G32+G33+G34+G31</f>
        <v>692693.65072485385</v>
      </c>
      <c r="H21" s="595">
        <f>D21+E21+F21+G21</f>
        <v>2435520.4877463742</v>
      </c>
      <c r="I21" s="624"/>
      <c r="J21" s="624"/>
      <c r="K21" s="624"/>
      <c r="L21" s="624"/>
      <c r="M21" s="621"/>
      <c r="N21" s="621"/>
      <c r="O21" s="254"/>
    </row>
    <row r="22" spans="1:34" s="76" customFormat="1" ht="27">
      <c r="A22" s="122"/>
      <c r="B22" s="935" t="s">
        <v>1766</v>
      </c>
      <c r="C22" s="935"/>
      <c r="D22" s="595">
        <f>D4+D21+D20</f>
        <v>17925049.811389159</v>
      </c>
      <c r="E22" s="595">
        <f>E4+E21+E20</f>
        <v>16086872.640852218</v>
      </c>
      <c r="F22" s="595">
        <f>F4+F21+F20</f>
        <v>15857303.156544566</v>
      </c>
      <c r="G22" s="595">
        <f>G4+G21+G20</f>
        <v>17501817.277626436</v>
      </c>
      <c r="H22" s="595">
        <f>H4+H21+H20</f>
        <v>67371042.886412382</v>
      </c>
      <c r="I22" s="623"/>
      <c r="J22" s="623"/>
      <c r="K22" s="624"/>
      <c r="L22" s="624"/>
      <c r="M22" s="624"/>
      <c r="N22" s="624"/>
      <c r="AH22" s="75"/>
    </row>
    <row r="23" spans="1:34" s="76" customFormat="1" ht="23.25">
      <c r="A23" s="122"/>
      <c r="B23" s="938" t="s">
        <v>1602</v>
      </c>
      <c r="C23" s="938"/>
      <c r="D23" s="596">
        <f>D4/3</f>
        <v>4882549.0866666669</v>
      </c>
      <c r="E23" s="596">
        <f>E4/3</f>
        <v>4882549.0877777776</v>
      </c>
      <c r="F23" s="596">
        <f>F4/3</f>
        <v>4882549.0877777776</v>
      </c>
      <c r="G23" s="596">
        <f>G4/3</f>
        <v>4882549.0877777776</v>
      </c>
      <c r="H23" s="596">
        <f>H22/12</f>
        <v>5614253.5738676982</v>
      </c>
      <c r="I23" s="624"/>
      <c r="J23" s="624"/>
      <c r="K23" s="624"/>
      <c r="L23" s="624"/>
      <c r="M23" s="624"/>
      <c r="N23" s="624"/>
      <c r="AH23" s="75"/>
    </row>
    <row r="24" spans="1:34" s="55" customFormat="1" ht="27.75">
      <c r="A24" s="54"/>
      <c r="B24" s="937" t="s">
        <v>1608</v>
      </c>
      <c r="C24" s="937"/>
      <c r="D24" s="937"/>
      <c r="E24" s="937"/>
      <c r="F24" s="937"/>
      <c r="G24" s="937"/>
      <c r="H24" s="129"/>
      <c r="I24" s="253"/>
      <c r="J24" s="253"/>
      <c r="K24" s="625"/>
      <c r="L24" s="253"/>
      <c r="M24" s="253"/>
      <c r="N24" s="253"/>
      <c r="P24" s="57"/>
      <c r="W24" s="57"/>
      <c r="AC24" s="58"/>
      <c r="AH24" s="56"/>
    </row>
    <row r="25" spans="1:34" s="55" customFormat="1" ht="27">
      <c r="A25" s="54"/>
      <c r="B25" s="942" t="s">
        <v>1426</v>
      </c>
      <c r="C25" s="942"/>
      <c r="D25" s="123" t="s">
        <v>1521</v>
      </c>
      <c r="E25" s="123" t="s">
        <v>1522</v>
      </c>
      <c r="F25" s="123" t="s">
        <v>1523</v>
      </c>
      <c r="G25" s="123" t="s">
        <v>1524</v>
      </c>
      <c r="H25" s="123" t="s">
        <v>1525</v>
      </c>
      <c r="I25" s="253"/>
      <c r="J25" s="253"/>
      <c r="K25" s="625"/>
      <c r="L25" s="253"/>
      <c r="M25" s="253"/>
      <c r="N25" s="253"/>
      <c r="P25" s="57"/>
      <c r="W25" s="57"/>
      <c r="AC25" s="58"/>
      <c r="AH25" s="56"/>
    </row>
    <row r="26" spans="1:34" s="58" customFormat="1" ht="27.75">
      <c r="A26" s="116"/>
      <c r="B26" s="934" t="s">
        <v>1387</v>
      </c>
      <c r="C26" s="934"/>
      <c r="D26" s="594">
        <f>D27+D28+D29</f>
        <v>2494056.1683050808</v>
      </c>
      <c r="E26" s="594">
        <f>E27+E28+E29</f>
        <v>941445.3638633925</v>
      </c>
      <c r="F26" s="594">
        <f>F27+F28+F29</f>
        <v>747955.45292928687</v>
      </c>
      <c r="G26" s="594">
        <f>G27+G28+G29</f>
        <v>2161476.3635682506</v>
      </c>
      <c r="H26" s="594">
        <f t="shared" ref="H26:H37" si="1">SUM(D26:G26)</f>
        <v>6344933.3486660104</v>
      </c>
      <c r="I26" s="830"/>
      <c r="J26" s="620"/>
      <c r="K26" s="620"/>
      <c r="L26" s="620"/>
      <c r="M26" s="620"/>
      <c r="N26" s="620"/>
      <c r="AH26" s="117"/>
    </row>
    <row r="27" spans="1:34" s="58" customFormat="1" ht="27.75">
      <c r="A27" s="116"/>
      <c r="B27" s="941" t="s">
        <v>80</v>
      </c>
      <c r="C27" s="941"/>
      <c r="D27" s="594">
        <f ca="1">Енергоносії...!O34</f>
        <v>2494056.1683050808</v>
      </c>
      <c r="E27" s="594">
        <f ca="1">Енергоносії...!O35</f>
        <v>941445.3638633925</v>
      </c>
      <c r="F27" s="594">
        <f ca="1">Енергоносії...!O36</f>
        <v>747955.45292928687</v>
      </c>
      <c r="G27" s="594">
        <f ca="1">Енергоносії...!O37</f>
        <v>2161476.3635682506</v>
      </c>
      <c r="H27" s="594">
        <f t="shared" si="1"/>
        <v>6344933.3486660104</v>
      </c>
      <c r="I27" s="620"/>
      <c r="J27" s="620"/>
      <c r="K27" s="620"/>
      <c r="L27" s="620"/>
      <c r="M27" s="620"/>
      <c r="N27" s="620"/>
      <c r="AH27" s="117"/>
    </row>
    <row r="28" spans="1:34" s="58" customFormat="1" ht="27.75">
      <c r="A28" s="116"/>
      <c r="B28" s="941" t="s">
        <v>1775</v>
      </c>
      <c r="C28" s="941"/>
      <c r="D28" s="594">
        <v>0</v>
      </c>
      <c r="E28" s="594">
        <v>0</v>
      </c>
      <c r="F28" s="594">
        <v>0</v>
      </c>
      <c r="G28" s="594">
        <v>0</v>
      </c>
      <c r="H28" s="594">
        <f t="shared" si="1"/>
        <v>0</v>
      </c>
      <c r="I28" s="620"/>
      <c r="J28" s="620"/>
      <c r="K28" s="620"/>
      <c r="L28" s="620"/>
      <c r="M28" s="620"/>
      <c r="N28" s="620"/>
      <c r="AH28" s="117"/>
    </row>
    <row r="29" spans="1:34" s="58" customFormat="1" ht="27.75">
      <c r="A29" s="116"/>
      <c r="B29" s="941" t="s">
        <v>79</v>
      </c>
      <c r="C29" s="941"/>
      <c r="D29" s="597">
        <v>0</v>
      </c>
      <c r="E29" s="810">
        <v>0</v>
      </c>
      <c r="F29" s="594">
        <v>0</v>
      </c>
      <c r="G29" s="594">
        <v>0</v>
      </c>
      <c r="H29" s="594">
        <f t="shared" si="1"/>
        <v>0</v>
      </c>
      <c r="I29" s="620"/>
      <c r="J29" s="620"/>
      <c r="K29" s="620"/>
      <c r="L29" s="620"/>
      <c r="M29" s="620"/>
      <c r="N29" s="620"/>
      <c r="AH29" s="117"/>
    </row>
    <row r="30" spans="1:34" s="58" customFormat="1" ht="27.75">
      <c r="A30" s="116"/>
      <c r="B30" s="934" t="s">
        <v>187</v>
      </c>
      <c r="C30" s="934"/>
      <c r="D30" s="594">
        <f>(17848.8+140441)/10*3</f>
        <v>47486.94</v>
      </c>
      <c r="E30" s="594">
        <f t="shared" ref="E30:G34" si="2">D30</f>
        <v>47486.94</v>
      </c>
      <c r="F30" s="594">
        <f t="shared" si="2"/>
        <v>47486.94</v>
      </c>
      <c r="G30" s="594">
        <f t="shared" si="2"/>
        <v>47486.94</v>
      </c>
      <c r="H30" s="594">
        <f t="shared" si="1"/>
        <v>189947.76</v>
      </c>
      <c r="I30" s="626"/>
      <c r="J30" s="620"/>
      <c r="K30" s="620"/>
      <c r="L30" s="620"/>
      <c r="M30" s="620"/>
      <c r="N30" s="620"/>
      <c r="AH30" s="117"/>
    </row>
    <row r="31" spans="1:34" s="58" customFormat="1" ht="27.75">
      <c r="A31" s="116"/>
      <c r="B31" s="934" t="s">
        <v>188</v>
      </c>
      <c r="C31" s="934"/>
      <c r="D31" s="594">
        <v>230450</v>
      </c>
      <c r="E31" s="594">
        <f>D31</f>
        <v>230450</v>
      </c>
      <c r="F31" s="594">
        <f>E31</f>
        <v>230450</v>
      </c>
      <c r="G31" s="594">
        <f>F31</f>
        <v>230450</v>
      </c>
      <c r="H31" s="594">
        <f t="shared" si="1"/>
        <v>921800</v>
      </c>
      <c r="I31" s="626"/>
      <c r="J31" s="620"/>
      <c r="K31" s="620"/>
      <c r="L31" s="620"/>
      <c r="M31" s="620"/>
      <c r="N31" s="620"/>
      <c r="AH31" s="117"/>
    </row>
    <row r="32" spans="1:34" s="58" customFormat="1" ht="27.75">
      <c r="A32" s="116"/>
      <c r="B32" s="934" t="s">
        <v>1553</v>
      </c>
      <c r="C32" s="934"/>
      <c r="D32" s="594">
        <f ca="1">16279*109%*3+Енергоносії...!E18+Енергоносії...!L18*1.2+Енергоносії...!E41+ФОП!AD5*3+ФОП!AE5*3+1000</f>
        <v>501209.44308407727</v>
      </c>
      <c r="E32" s="594">
        <f ca="1">16279*109%+Енергоносії...!E19+Енергоносії...!L19*1.2+Енергоносії...!E42+ФОП!AF5/2+ФОП!AG5*3</f>
        <v>215643.07365549571</v>
      </c>
      <c r="F32" s="594">
        <f ca="1">16279*109%+Енергоносії...!E20+Енергоносії...!L20*1.2+Енергоносії...!E43+ФОП!AG5*3</f>
        <v>179563.50028194732</v>
      </c>
      <c r="G32" s="594">
        <f ca="1">16279*109%+Енергоносії...!E21+Енергоносії...!L21*1.2+Енергоносії...!E44+ФОП!AF5/2+ФОП!AF5*2+ФОП!AG5*3</f>
        <v>410556.71072485385</v>
      </c>
      <c r="H32" s="594">
        <f t="shared" si="1"/>
        <v>1306972.7277463742</v>
      </c>
      <c r="I32" s="626"/>
      <c r="J32" s="620"/>
      <c r="K32" s="620"/>
      <c r="L32" s="620"/>
      <c r="M32" s="620"/>
      <c r="N32" s="620"/>
      <c r="AH32" s="117"/>
    </row>
    <row r="33" spans="1:34" s="58" customFormat="1" ht="27.75">
      <c r="A33" s="116"/>
      <c r="B33" s="934" t="s">
        <v>1542</v>
      </c>
      <c r="C33" s="934"/>
      <c r="D33" s="594">
        <v>1200</v>
      </c>
      <c r="E33" s="594">
        <f t="shared" si="2"/>
        <v>1200</v>
      </c>
      <c r="F33" s="594">
        <f t="shared" si="2"/>
        <v>1200</v>
      </c>
      <c r="G33" s="594">
        <f t="shared" si="2"/>
        <v>1200</v>
      </c>
      <c r="H33" s="594">
        <f t="shared" si="1"/>
        <v>4800</v>
      </c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AH33" s="117"/>
    </row>
    <row r="34" spans="1:34" s="58" customFormat="1" ht="27.75">
      <c r="A34" s="116"/>
      <c r="B34" s="934" t="s">
        <v>1543</v>
      </c>
      <c r="C34" s="934"/>
      <c r="D34" s="594">
        <f>3000</f>
        <v>3000</v>
      </c>
      <c r="E34" s="594">
        <f t="shared" si="2"/>
        <v>3000</v>
      </c>
      <c r="F34" s="594">
        <f t="shared" si="2"/>
        <v>3000</v>
      </c>
      <c r="G34" s="594">
        <f t="shared" si="2"/>
        <v>3000</v>
      </c>
      <c r="H34" s="594">
        <f t="shared" si="1"/>
        <v>12000</v>
      </c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AH34" s="117"/>
    </row>
    <row r="35" spans="1:34" s="58" customFormat="1" ht="27.75">
      <c r="A35" s="116"/>
      <c r="B35" s="934" t="s">
        <v>1520</v>
      </c>
      <c r="C35" s="934"/>
      <c r="D35" s="594"/>
      <c r="E35" s="594"/>
      <c r="F35" s="594"/>
      <c r="G35" s="594"/>
      <c r="H35" s="594">
        <f t="shared" si="1"/>
        <v>0</v>
      </c>
      <c r="I35" s="620"/>
      <c r="J35" s="620"/>
      <c r="K35" s="620"/>
      <c r="L35" s="620"/>
      <c r="M35" s="620"/>
      <c r="N35" s="620"/>
      <c r="AH35" s="117"/>
    </row>
    <row r="36" spans="1:34" s="58" customFormat="1" ht="27.75">
      <c r="A36" s="116"/>
      <c r="B36" s="934" t="s">
        <v>1547</v>
      </c>
      <c r="C36" s="934"/>
      <c r="D36" s="594"/>
      <c r="E36" s="594"/>
      <c r="F36" s="594"/>
      <c r="G36" s="594"/>
      <c r="H36" s="594">
        <f t="shared" si="1"/>
        <v>0</v>
      </c>
      <c r="I36" s="620"/>
      <c r="J36" s="620"/>
      <c r="K36" s="620"/>
      <c r="L36" s="620"/>
      <c r="M36" s="620"/>
      <c r="N36" s="620"/>
      <c r="AH36" s="117"/>
    </row>
    <row r="37" spans="1:34" s="58" customFormat="1" ht="27.75">
      <c r="A37" s="116"/>
      <c r="B37" s="934" t="s">
        <v>1776</v>
      </c>
      <c r="C37" s="934"/>
      <c r="D37" s="595"/>
      <c r="E37" s="594"/>
      <c r="F37" s="594"/>
      <c r="G37" s="594"/>
      <c r="H37" s="594">
        <f t="shared" si="1"/>
        <v>0</v>
      </c>
      <c r="I37" s="620"/>
      <c r="J37" s="620"/>
      <c r="K37" s="620"/>
      <c r="L37" s="620"/>
      <c r="M37" s="620"/>
      <c r="N37" s="620"/>
      <c r="AH37" s="117"/>
    </row>
    <row r="38" spans="1:34" s="58" customFormat="1" ht="30.75" customHeight="1">
      <c r="A38" s="116"/>
      <c r="B38" s="935" t="s">
        <v>684</v>
      </c>
      <c r="C38" s="935"/>
      <c r="D38" s="594">
        <f>D26+D30+D32+D33+D34+D35+D36+D37+D31</f>
        <v>3277402.5513891582</v>
      </c>
      <c r="E38" s="594">
        <f>E26+E30+E32+E33+E34+E35+E36+E37+E31</f>
        <v>1439225.3775188881</v>
      </c>
      <c r="F38" s="594">
        <f>F26+F30+F32+F33+F34+F35+F36+F37+F31</f>
        <v>1209655.8932112344</v>
      </c>
      <c r="G38" s="594">
        <f>G26+G30+G32+G33+G34+G35+G36+G37+G31</f>
        <v>2854170.0142931044</v>
      </c>
      <c r="H38" s="594">
        <f>H26+H30+H32+H33+H34+H35+H36+H37+H31</f>
        <v>8780453.8364123851</v>
      </c>
      <c r="I38" s="620"/>
      <c r="J38" s="620"/>
      <c r="K38" s="620"/>
      <c r="L38" s="620"/>
      <c r="M38" s="620"/>
      <c r="N38" s="620"/>
      <c r="AH38" s="117"/>
    </row>
    <row r="39" spans="1:34" s="55" customFormat="1">
      <c r="A39" s="54"/>
      <c r="K39" s="57"/>
      <c r="P39" s="57"/>
      <c r="W39" s="57"/>
      <c r="AC39" s="58"/>
      <c r="AH39" s="56"/>
    </row>
    <row r="40" spans="1:34" s="55" customFormat="1">
      <c r="A40" s="54"/>
      <c r="K40" s="57"/>
      <c r="P40" s="57"/>
      <c r="W40" s="57"/>
      <c r="AC40" s="58"/>
      <c r="AH40" s="56"/>
    </row>
    <row r="41" spans="1:34" s="55" customFormat="1">
      <c r="A41" s="54"/>
      <c r="K41" s="57"/>
      <c r="P41" s="57"/>
      <c r="W41" s="57"/>
      <c r="AC41" s="58"/>
      <c r="AH41" s="56"/>
    </row>
    <row r="42" spans="1:34" s="55" customFormat="1">
      <c r="A42" s="54"/>
      <c r="K42" s="57"/>
      <c r="P42" s="57"/>
      <c r="W42" s="57"/>
      <c r="AC42" s="58"/>
      <c r="AH42" s="56"/>
    </row>
    <row r="43" spans="1:34" s="55" customFormat="1">
      <c r="A43" s="54"/>
      <c r="K43" s="57"/>
      <c r="P43" s="57"/>
      <c r="W43" s="57"/>
      <c r="AC43" s="58"/>
      <c r="AH43" s="56"/>
    </row>
    <row r="44" spans="1:34" s="55" customFormat="1">
      <c r="A44" s="54"/>
      <c r="K44" s="57"/>
      <c r="P44" s="57"/>
      <c r="W44" s="57"/>
      <c r="AC44" s="58"/>
      <c r="AH44" s="56"/>
    </row>
    <row r="45" spans="1:34" s="55" customFormat="1">
      <c r="A45" s="54"/>
      <c r="K45" s="57"/>
      <c r="P45" s="57"/>
      <c r="W45" s="57"/>
      <c r="AC45" s="58"/>
      <c r="AH45" s="56"/>
    </row>
    <row r="46" spans="1:34" s="55" customFormat="1">
      <c r="A46" s="54"/>
      <c r="K46" s="57"/>
      <c r="P46" s="57"/>
      <c r="W46" s="57"/>
      <c r="AC46" s="58"/>
      <c r="AH46" s="56"/>
    </row>
    <row r="47" spans="1:34" s="55" customFormat="1">
      <c r="A47" s="54"/>
      <c r="K47" s="57"/>
      <c r="P47" s="57"/>
      <c r="W47" s="57"/>
      <c r="AC47" s="58"/>
      <c r="AH47" s="56"/>
    </row>
    <row r="48" spans="1:34" s="55" customFormat="1">
      <c r="A48" s="54"/>
      <c r="K48" s="57"/>
      <c r="P48" s="57"/>
      <c r="W48" s="57"/>
      <c r="AC48" s="58"/>
      <c r="AH48" s="56"/>
    </row>
    <row r="49" spans="1:34" s="55" customFormat="1">
      <c r="A49" s="54"/>
      <c r="K49" s="57"/>
      <c r="P49" s="57"/>
      <c r="W49" s="57"/>
      <c r="AC49" s="58"/>
      <c r="AH49" s="56"/>
    </row>
    <row r="50" spans="1:34" s="55" customFormat="1">
      <c r="A50" s="54"/>
      <c r="K50" s="57"/>
      <c r="P50" s="57"/>
      <c r="W50" s="57"/>
      <c r="AC50" s="58"/>
      <c r="AH50" s="56"/>
    </row>
    <row r="51" spans="1:34" s="55" customFormat="1">
      <c r="A51" s="54"/>
      <c r="K51" s="57"/>
      <c r="P51" s="57"/>
      <c r="W51" s="57"/>
      <c r="AC51" s="58"/>
      <c r="AH51" s="56"/>
    </row>
    <row r="52" spans="1:34" s="55" customFormat="1">
      <c r="A52" s="54"/>
      <c r="K52" s="57"/>
      <c r="P52" s="57"/>
      <c r="W52" s="57"/>
      <c r="AC52" s="58"/>
      <c r="AH52" s="56"/>
    </row>
  </sheetData>
  <mergeCells count="22">
    <mergeCell ref="B2:G2"/>
    <mergeCell ref="B22:C22"/>
    <mergeCell ref="B3:C3"/>
    <mergeCell ref="B21:C21"/>
    <mergeCell ref="B28:C28"/>
    <mergeCell ref="B29:C29"/>
    <mergeCell ref="B27:C27"/>
    <mergeCell ref="B25:C25"/>
    <mergeCell ref="B4:C4"/>
    <mergeCell ref="B24:G24"/>
    <mergeCell ref="B26:C26"/>
    <mergeCell ref="B23:C23"/>
    <mergeCell ref="B20:C20"/>
    <mergeCell ref="B32:C32"/>
    <mergeCell ref="B30:C30"/>
    <mergeCell ref="B31:C31"/>
    <mergeCell ref="B38:C38"/>
    <mergeCell ref="B37:C37"/>
    <mergeCell ref="B35:C35"/>
    <mergeCell ref="B33:C33"/>
    <mergeCell ref="B36:C36"/>
    <mergeCell ref="B34:C34"/>
  </mergeCells>
  <phoneticPr fontId="0" type="noConversion"/>
  <conditionalFormatting sqref="D27:G37">
    <cfRule type="notContainsBlanks" dxfId="18" priority="662">
      <formula>LEN(TRIM(D27))&gt;0</formula>
    </cfRule>
  </conditionalFormatting>
  <conditionalFormatting sqref="D29">
    <cfRule type="notContainsBlanks" dxfId="17" priority="2">
      <formula>LEN(TRIM(D29))&gt;0</formula>
    </cfRule>
  </conditionalFormatting>
  <conditionalFormatting sqref="E29">
    <cfRule type="notContainsBlanks" dxfId="16" priority="1">
      <formula>LEN(TRIM(E29))&gt;0</formula>
    </cfRule>
  </conditionalFormatting>
  <pageMargins left="0.7" right="0.7" top="0.75" bottom="0.75" header="0.3" footer="0.3"/>
  <pageSetup paperSize="9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view="pageBreakPreview" zoomScale="75" zoomScaleNormal="75" zoomScaleSheetLayoutView="75" workbookViewId="0">
      <selection activeCell="N24" sqref="N24"/>
    </sheetView>
  </sheetViews>
  <sheetFormatPr defaultRowHeight="15"/>
  <cols>
    <col min="1" max="1" width="46.28515625" customWidth="1"/>
    <col min="2" max="2" width="24" customWidth="1"/>
    <col min="3" max="3" width="18.28515625" customWidth="1"/>
    <col min="4" max="4" width="21.42578125" customWidth="1"/>
    <col min="5" max="5" width="24.28515625" customWidth="1"/>
    <col min="6" max="6" width="23.140625" customWidth="1"/>
    <col min="11" max="11" width="25.5703125" customWidth="1"/>
    <col min="12" max="12" width="15.85546875" customWidth="1"/>
  </cols>
  <sheetData>
    <row r="2" spans="1:10" ht="15.75">
      <c r="A2" s="950" t="s">
        <v>170</v>
      </c>
      <c r="B2" s="950"/>
      <c r="C2" s="950"/>
      <c r="D2" s="950"/>
      <c r="E2" s="950"/>
      <c r="F2" s="950"/>
      <c r="G2" s="274"/>
      <c r="H2" s="771"/>
      <c r="I2" s="771"/>
      <c r="J2" s="771"/>
    </row>
    <row r="3" spans="1:10" ht="15.75">
      <c r="A3" s="771"/>
      <c r="B3" s="771"/>
      <c r="C3" s="771"/>
      <c r="D3" s="771"/>
      <c r="E3" s="771"/>
      <c r="F3" s="771"/>
      <c r="G3" s="274"/>
      <c r="H3" s="771"/>
      <c r="I3" s="771"/>
      <c r="J3" s="771"/>
    </row>
    <row r="4" spans="1:10" ht="15.75">
      <c r="A4" s="492" t="s">
        <v>131</v>
      </c>
      <c r="B4" s="772" t="s">
        <v>132</v>
      </c>
      <c r="C4" s="772" t="s">
        <v>1513</v>
      </c>
      <c r="D4" s="772" t="s">
        <v>1522</v>
      </c>
      <c r="E4" s="772" t="s">
        <v>1523</v>
      </c>
      <c r="F4" s="772" t="s">
        <v>1516</v>
      </c>
      <c r="G4" s="951" t="s">
        <v>133</v>
      </c>
      <c r="H4" s="951"/>
      <c r="I4" s="951"/>
      <c r="J4" s="951"/>
    </row>
    <row r="5" spans="1:10" ht="15.75">
      <c r="A5" s="776" t="s">
        <v>1465</v>
      </c>
      <c r="B5" s="775">
        <f t="shared" ref="B5:B19" si="0">SUM(C5:F5)</f>
        <v>40215883.763400003</v>
      </c>
      <c r="C5" s="775">
        <f ca="1">ФОП!O30</f>
        <v>10059349.940850001</v>
      </c>
      <c r="D5" s="775">
        <f ca="1">ФОП!P30</f>
        <v>10050384.940850001</v>
      </c>
      <c r="E5" s="775">
        <f ca="1">ФОП!Q30</f>
        <v>10048591.940850001</v>
      </c>
      <c r="F5" s="775">
        <f ca="1">ФОП!R30</f>
        <v>10057556.940850001</v>
      </c>
      <c r="G5" s="953"/>
      <c r="H5" s="954"/>
      <c r="I5" s="954"/>
      <c r="J5" s="955"/>
    </row>
    <row r="6" spans="1:10" ht="15.75">
      <c r="A6" s="776" t="s">
        <v>1466</v>
      </c>
      <c r="B6" s="775">
        <f t="shared" si="0"/>
        <v>8847494.4279480018</v>
      </c>
      <c r="C6" s="775">
        <f ca="1">ФОП!O31</f>
        <v>2213056.9869870003</v>
      </c>
      <c r="D6" s="775">
        <f ca="1">ФОП!P31</f>
        <v>2211084.6869870005</v>
      </c>
      <c r="E6" s="775">
        <f ca="1">ФОП!Q31</f>
        <v>2210690.2269870006</v>
      </c>
      <c r="F6" s="775">
        <f ca="1">ФОП!R31</f>
        <v>2212662.5269870004</v>
      </c>
      <c r="G6" s="953"/>
      <c r="H6" s="954"/>
      <c r="I6" s="954"/>
      <c r="J6" s="955"/>
    </row>
    <row r="7" spans="1:10" ht="24.75" customHeight="1">
      <c r="A7" s="773" t="s">
        <v>1467</v>
      </c>
      <c r="B7" s="774">
        <f t="shared" si="0"/>
        <v>4889382.8359999992</v>
      </c>
      <c r="C7" s="775">
        <f ca="1">'2220'!J501/4</f>
        <v>1222345.7089999998</v>
      </c>
      <c r="D7" s="775">
        <f t="shared" ref="D7:F8" si="1">C7</f>
        <v>1222345.7089999998</v>
      </c>
      <c r="E7" s="775">
        <f t="shared" si="1"/>
        <v>1222345.7089999998</v>
      </c>
      <c r="F7" s="775">
        <f t="shared" si="1"/>
        <v>1222345.7089999998</v>
      </c>
      <c r="G7" s="952" t="s">
        <v>134</v>
      </c>
      <c r="H7" s="952"/>
      <c r="I7" s="952"/>
      <c r="J7" s="952"/>
    </row>
    <row r="8" spans="1:10" ht="20.25" customHeight="1">
      <c r="A8" s="773" t="s">
        <v>1468</v>
      </c>
      <c r="B8" s="774">
        <f t="shared" si="0"/>
        <v>974892.25119999994</v>
      </c>
      <c r="C8" s="775">
        <f ca="1">'2230'!G15/4</f>
        <v>243723.06279999999</v>
      </c>
      <c r="D8" s="775">
        <f t="shared" si="1"/>
        <v>243723.06279999999</v>
      </c>
      <c r="E8" s="775">
        <f t="shared" si="1"/>
        <v>243723.06279999999</v>
      </c>
      <c r="F8" s="775">
        <f t="shared" si="1"/>
        <v>243723.06279999999</v>
      </c>
      <c r="G8" s="952" t="s">
        <v>135</v>
      </c>
      <c r="H8" s="952"/>
      <c r="I8" s="952"/>
      <c r="J8" s="952"/>
    </row>
    <row r="9" spans="1:10" ht="20.25" customHeight="1">
      <c r="A9" s="773" t="s">
        <v>1469</v>
      </c>
      <c r="B9" s="774">
        <f t="shared" si="0"/>
        <v>748883.89999999991</v>
      </c>
      <c r="C9" s="775">
        <f ca="1">'2240'!D37</f>
        <v>115917.20999999999</v>
      </c>
      <c r="D9" s="775">
        <f ca="1">'2240'!G37</f>
        <v>217358.81000000003</v>
      </c>
      <c r="E9" s="775">
        <f ca="1">'2240'!J37</f>
        <v>210833.44</v>
      </c>
      <c r="F9" s="775">
        <f ca="1">'2240'!M37</f>
        <v>204774.44</v>
      </c>
      <c r="G9" s="952" t="s">
        <v>136</v>
      </c>
      <c r="H9" s="952"/>
      <c r="I9" s="952"/>
      <c r="J9" s="952"/>
    </row>
    <row r="10" spans="1:10" ht="20.25" customHeight="1">
      <c r="A10" s="776" t="s">
        <v>1470</v>
      </c>
      <c r="B10" s="774">
        <f t="shared" si="0"/>
        <v>10000</v>
      </c>
      <c r="C10" s="775">
        <v>5000</v>
      </c>
      <c r="D10" s="775">
        <v>5000</v>
      </c>
      <c r="E10" s="775"/>
      <c r="F10" s="775"/>
      <c r="G10" s="949" t="s">
        <v>137</v>
      </c>
      <c r="H10" s="949"/>
      <c r="I10" s="949"/>
      <c r="J10" s="949"/>
    </row>
    <row r="11" spans="1:10" ht="20.25" customHeight="1">
      <c r="A11" s="773" t="s">
        <v>138</v>
      </c>
      <c r="B11" s="774">
        <f t="shared" si="0"/>
        <v>2960000</v>
      </c>
      <c r="C11" s="775">
        <f ca="1">Енергоносії...!K18</f>
        <v>1512000</v>
      </c>
      <c r="D11" s="775">
        <f ca="1">Енергоносії...!K19</f>
        <v>252000</v>
      </c>
      <c r="E11" s="775">
        <f ca="1">Енергоносії...!K20</f>
        <v>0</v>
      </c>
      <c r="F11" s="775">
        <f ca="1">Енергоносії...!K21</f>
        <v>1196000</v>
      </c>
      <c r="G11" s="952" t="s">
        <v>139</v>
      </c>
      <c r="H11" s="952"/>
      <c r="I11" s="952"/>
      <c r="J11" s="952"/>
    </row>
    <row r="12" spans="1:10" ht="20.25" customHeight="1">
      <c r="A12" s="773" t="s">
        <v>138</v>
      </c>
      <c r="B12" s="774">
        <f t="shared" si="0"/>
        <v>130896</v>
      </c>
      <c r="C12" s="775">
        <f ca="1">Енергоносії...!D41</f>
        <v>32724</v>
      </c>
      <c r="D12" s="775">
        <f ca="1">Енергоносії...!D42</f>
        <v>32724</v>
      </c>
      <c r="E12" s="775">
        <f ca="1">Енергоносії...!D43</f>
        <v>32724</v>
      </c>
      <c r="F12" s="775">
        <f ca="1">Енергоносії...!D44</f>
        <v>32724</v>
      </c>
      <c r="G12" s="952" t="s">
        <v>140</v>
      </c>
      <c r="H12" s="952"/>
      <c r="I12" s="952"/>
      <c r="J12" s="952"/>
    </row>
    <row r="13" spans="1:10" ht="20.25" customHeight="1">
      <c r="A13" s="773" t="s">
        <v>1275</v>
      </c>
      <c r="B13" s="774">
        <f t="shared" si="0"/>
        <v>4014816.426599999</v>
      </c>
      <c r="C13" s="775">
        <f ca="1">Енергоносії...!D18</f>
        <v>1250328.5442839998</v>
      </c>
      <c r="D13" s="775">
        <f ca="1">Енергоносії...!D19</f>
        <v>768550.57309199986</v>
      </c>
      <c r="E13" s="775">
        <f ca="1">Енергоносії...!D20</f>
        <v>802963.28531999991</v>
      </c>
      <c r="F13" s="775">
        <f ca="1">Енергоносії...!D21</f>
        <v>1192974.0239039997</v>
      </c>
      <c r="G13" s="952" t="s">
        <v>166</v>
      </c>
      <c r="H13" s="952"/>
      <c r="I13" s="952"/>
      <c r="J13" s="952"/>
    </row>
    <row r="14" spans="1:10" ht="52.5" customHeight="1">
      <c r="A14" s="773" t="s">
        <v>1471</v>
      </c>
      <c r="B14" s="774">
        <f t="shared" si="0"/>
        <v>0</v>
      </c>
      <c r="C14" s="775">
        <v>0</v>
      </c>
      <c r="D14" s="775">
        <v>0</v>
      </c>
      <c r="E14" s="775">
        <v>0</v>
      </c>
      <c r="F14" s="775">
        <v>0</v>
      </c>
      <c r="G14" s="949" t="s">
        <v>141</v>
      </c>
      <c r="H14" s="949"/>
      <c r="I14" s="949"/>
      <c r="J14" s="949"/>
    </row>
    <row r="15" spans="1:10" ht="16.5" customHeight="1">
      <c r="A15" s="773" t="s">
        <v>1472</v>
      </c>
      <c r="B15" s="774">
        <f t="shared" si="0"/>
        <v>88664.16</v>
      </c>
      <c r="C15" s="775">
        <f>7388.68*3</f>
        <v>22166.04</v>
      </c>
      <c r="D15" s="775">
        <f>7388.68*3</f>
        <v>22166.04</v>
      </c>
      <c r="E15" s="775">
        <f>7388.68*3</f>
        <v>22166.04</v>
      </c>
      <c r="F15" s="775">
        <f>E15</f>
        <v>22166.04</v>
      </c>
      <c r="G15" s="949" t="s">
        <v>355</v>
      </c>
      <c r="H15" s="949"/>
      <c r="I15" s="949"/>
      <c r="J15" s="949"/>
    </row>
    <row r="16" spans="1:10" ht="55.5" customHeight="1">
      <c r="A16" s="773" t="s">
        <v>142</v>
      </c>
      <c r="B16" s="774">
        <f t="shared" si="0"/>
        <v>522083.2</v>
      </c>
      <c r="C16" s="775">
        <f ca="1">'2210'!E92</f>
        <v>277793</v>
      </c>
      <c r="D16" s="775">
        <f ca="1">'2210'!H92</f>
        <v>189492.2</v>
      </c>
      <c r="E16" s="775">
        <f ca="1">'2210'!K92</f>
        <v>34463</v>
      </c>
      <c r="F16" s="775">
        <f ca="1">'2210'!N92</f>
        <v>20335</v>
      </c>
      <c r="G16" s="952" t="s">
        <v>143</v>
      </c>
      <c r="H16" s="952"/>
      <c r="I16" s="952"/>
      <c r="J16" s="952"/>
    </row>
    <row r="17" spans="1:10" ht="34.5" customHeight="1">
      <c r="A17" s="773" t="s">
        <v>169</v>
      </c>
      <c r="B17" s="774">
        <f t="shared" si="0"/>
        <v>60000</v>
      </c>
      <c r="C17" s="775">
        <f ca="1">'2210'!D86+'2210'!E86+'2210'!F86</f>
        <v>15000</v>
      </c>
      <c r="D17" s="775">
        <f ca="1">'2210'!G86+'2210'!H86+'2210'!I86</f>
        <v>15000</v>
      </c>
      <c r="E17" s="775">
        <f ca="1">'2210'!J86+'2210'!K86+'2210'!L86</f>
        <v>15000</v>
      </c>
      <c r="F17" s="775">
        <f ca="1">'2210'!M86+'2210'!N86+'2210'!O86</f>
        <v>15000</v>
      </c>
      <c r="G17" s="943"/>
      <c r="H17" s="944"/>
      <c r="I17" s="944"/>
      <c r="J17" s="945"/>
    </row>
    <row r="18" spans="1:10" ht="16.5" customHeight="1">
      <c r="A18" s="773" t="s">
        <v>189</v>
      </c>
      <c r="B18" s="774">
        <f t="shared" si="0"/>
        <v>262986.74795772904</v>
      </c>
      <c r="C18" s="775">
        <f>C23+C24+C25+C26+C27+C22</f>
        <v>98199.397180679545</v>
      </c>
      <c r="D18" s="775">
        <f>D23+D24+D25+D26+D27+D22</f>
        <v>46105.002275915955</v>
      </c>
      <c r="E18" s="775">
        <f>E23+E24+E25+E26+E27+E22</f>
        <v>40091.740046991217</v>
      </c>
      <c r="F18" s="775">
        <f>F23+F24+F25+F26+F27+F22</f>
        <v>78590.608454142304</v>
      </c>
      <c r="G18" s="959" t="s">
        <v>175</v>
      </c>
      <c r="H18" s="959"/>
      <c r="I18" s="959"/>
      <c r="J18" s="959"/>
    </row>
    <row r="19" spans="1:10" ht="27.75" customHeight="1">
      <c r="A19" s="773" t="s">
        <v>1475</v>
      </c>
      <c r="B19" s="774">
        <f t="shared" si="0"/>
        <v>0</v>
      </c>
      <c r="C19" s="775">
        <v>0</v>
      </c>
      <c r="D19" s="775">
        <v>0</v>
      </c>
      <c r="E19" s="775">
        <v>0</v>
      </c>
      <c r="F19" s="775">
        <v>0</v>
      </c>
      <c r="G19" s="952" t="s">
        <v>144</v>
      </c>
      <c r="H19" s="952"/>
      <c r="I19" s="952"/>
      <c r="J19" s="952"/>
    </row>
    <row r="20" spans="1:10" ht="37.5" customHeight="1">
      <c r="A20" s="105" t="s">
        <v>145</v>
      </c>
      <c r="B20" s="774">
        <f ca="1">('!!! ФІНАНСОВИЙ ПЛАН 2023 !!!'!E134)*0.005</f>
        <v>189920.86499999999</v>
      </c>
      <c r="C20" s="775">
        <f>$B$20/4</f>
        <v>47480.216249999998</v>
      </c>
      <c r="D20" s="775">
        <f>$B$20/4</f>
        <v>47480.216249999998</v>
      </c>
      <c r="E20" s="775">
        <f>$B$20/4</f>
        <v>47480.216249999998</v>
      </c>
      <c r="F20" s="775">
        <f>$B$20/4</f>
        <v>47480.216249999998</v>
      </c>
      <c r="G20" s="956" t="s">
        <v>146</v>
      </c>
      <c r="H20" s="956"/>
      <c r="I20" s="956"/>
      <c r="J20" s="956"/>
    </row>
    <row r="21" spans="1:10" ht="37.5" customHeight="1">
      <c r="A21" s="105" t="s">
        <v>173</v>
      </c>
      <c r="B21" s="774">
        <f t="shared" ref="B21:B27" si="2">SUM(C21:F21)</f>
        <v>9499140.0135397315</v>
      </c>
      <c r="C21" s="775">
        <f>C5*23%+C22</f>
        <v>2405099.8835761799</v>
      </c>
      <c r="D21" s="775">
        <f>D5*23%+D22</f>
        <v>2355443.5386714162</v>
      </c>
      <c r="E21" s="775">
        <f>E5*23%+E22</f>
        <v>2349017.8864424913</v>
      </c>
      <c r="F21" s="775">
        <f>F5*23%+F22</f>
        <v>2389578.7048496427</v>
      </c>
      <c r="G21" s="946" t="s">
        <v>354</v>
      </c>
      <c r="H21" s="947"/>
      <c r="I21" s="947"/>
      <c r="J21" s="948"/>
    </row>
    <row r="22" spans="1:10" ht="16.5" customHeight="1">
      <c r="A22" s="777" t="s">
        <v>147</v>
      </c>
      <c r="B22" s="774">
        <f t="shared" si="2"/>
        <v>249486.74795772904</v>
      </c>
      <c r="C22" s="775">
        <f ca="1">(Доходи!D30+Доходи!D32)/6</f>
        <v>91449.397180679545</v>
      </c>
      <c r="D22" s="775">
        <f ca="1">(Доходи!E30+Доходи!E32)/6</f>
        <v>43855.002275915955</v>
      </c>
      <c r="E22" s="775">
        <f ca="1">(Доходи!F30+Доходи!F32)/6</f>
        <v>37841.740046991217</v>
      </c>
      <c r="F22" s="775">
        <f ca="1">(Доходи!G30+Доходи!G32)/6</f>
        <v>76340.608454142304</v>
      </c>
      <c r="G22" s="957" t="s">
        <v>148</v>
      </c>
      <c r="H22" s="957"/>
      <c r="I22" s="957"/>
      <c r="J22" s="957"/>
    </row>
    <row r="23" spans="1:10" ht="16.5" customHeight="1">
      <c r="A23" s="777" t="s">
        <v>149</v>
      </c>
      <c r="B23" s="806">
        <f t="shared" si="2"/>
        <v>4500</v>
      </c>
      <c r="C23" s="775">
        <f>4500</f>
        <v>4500</v>
      </c>
      <c r="D23" s="775"/>
      <c r="E23" s="775"/>
      <c r="F23" s="775"/>
      <c r="G23" s="958" t="s">
        <v>148</v>
      </c>
      <c r="H23" s="958"/>
      <c r="I23" s="958"/>
      <c r="J23" s="958"/>
    </row>
    <row r="24" spans="1:10" ht="33.75" customHeight="1">
      <c r="A24" s="777" t="s">
        <v>190</v>
      </c>
      <c r="B24" s="806">
        <f t="shared" si="2"/>
        <v>1000</v>
      </c>
      <c r="C24" s="775">
        <f>250</f>
        <v>250</v>
      </c>
      <c r="D24" s="775">
        <f>250</f>
        <v>250</v>
      </c>
      <c r="E24" s="775">
        <f>250</f>
        <v>250</v>
      </c>
      <c r="F24" s="775">
        <f>250</f>
        <v>250</v>
      </c>
      <c r="G24" s="958" t="s">
        <v>148</v>
      </c>
      <c r="H24" s="958"/>
      <c r="I24" s="958"/>
      <c r="J24" s="958"/>
    </row>
    <row r="25" spans="1:10" ht="21.75" customHeight="1">
      <c r="A25" s="777" t="s">
        <v>150</v>
      </c>
      <c r="B25" s="806">
        <f t="shared" si="2"/>
        <v>0</v>
      </c>
      <c r="C25" s="775">
        <v>0</v>
      </c>
      <c r="D25" s="775">
        <v>0</v>
      </c>
      <c r="E25" s="775">
        <v>0</v>
      </c>
      <c r="F25" s="775">
        <v>0</v>
      </c>
      <c r="G25" s="958" t="s">
        <v>148</v>
      </c>
      <c r="H25" s="958"/>
      <c r="I25" s="958"/>
      <c r="J25" s="958"/>
    </row>
    <row r="26" spans="1:10" ht="19.5" customHeight="1">
      <c r="A26" s="777" t="s">
        <v>151</v>
      </c>
      <c r="B26" s="806">
        <f t="shared" si="2"/>
        <v>0</v>
      </c>
      <c r="C26" s="775"/>
      <c r="D26" s="775">
        <v>0</v>
      </c>
      <c r="E26" s="775">
        <v>0</v>
      </c>
      <c r="F26" s="775">
        <v>0</v>
      </c>
      <c r="G26" s="958" t="s">
        <v>148</v>
      </c>
      <c r="H26" s="958"/>
      <c r="I26" s="958"/>
      <c r="J26" s="958"/>
    </row>
    <row r="27" spans="1:10" ht="33.75" customHeight="1">
      <c r="A27" s="777" t="s">
        <v>152</v>
      </c>
      <c r="B27" s="806">
        <f t="shared" si="2"/>
        <v>8000</v>
      </c>
      <c r="C27" s="775">
        <f>2000</f>
        <v>2000</v>
      </c>
      <c r="D27" s="775">
        <f>2000</f>
        <v>2000</v>
      </c>
      <c r="E27" s="775">
        <f>2000</f>
        <v>2000</v>
      </c>
      <c r="F27" s="775">
        <f>2000</f>
        <v>2000</v>
      </c>
      <c r="G27" s="949" t="s">
        <v>153</v>
      </c>
      <c r="H27" s="949"/>
      <c r="I27" s="949"/>
      <c r="J27" s="949"/>
    </row>
    <row r="28" spans="1:10" ht="33.75" customHeight="1">
      <c r="A28" s="777" t="s">
        <v>1483</v>
      </c>
      <c r="B28" s="774">
        <f t="shared" ref="B28:B33" si="3">SUM(C28:F28)</f>
        <v>0</v>
      </c>
      <c r="C28" s="775">
        <v>0</v>
      </c>
      <c r="D28" s="775">
        <v>0</v>
      </c>
      <c r="E28" s="775">
        <v>0</v>
      </c>
      <c r="F28" s="775">
        <v>0</v>
      </c>
      <c r="G28" s="958" t="s">
        <v>1518</v>
      </c>
      <c r="H28" s="958"/>
      <c r="I28" s="958"/>
      <c r="J28" s="958"/>
    </row>
    <row r="29" spans="1:10" ht="33.75" customHeight="1">
      <c r="A29" s="778" t="s">
        <v>154</v>
      </c>
      <c r="B29" s="774">
        <f t="shared" si="3"/>
        <v>0</v>
      </c>
      <c r="C29" s="775">
        <f ca="1">'ОЗ-ІНМА'!$D$15+'ОЗ-ІНМА'!$E$15+'ОЗ-ІНМА'!$F$15</f>
        <v>0</v>
      </c>
      <c r="D29" s="775">
        <f ca="1">'ОЗ-ІНМА'!$G$15+'ОЗ-ІНМА'!$H$15+'ОЗ-ІНМА'!$I$15</f>
        <v>0</v>
      </c>
      <c r="E29" s="775">
        <f ca="1">'ОЗ-ІНМА'!$J$15+'ОЗ-ІНМА'!$K$15+'ОЗ-ІНМА'!$L$15</f>
        <v>0</v>
      </c>
      <c r="F29" s="775">
        <f ca="1">'ОЗ-ІНМА'!$M$15+'ОЗ-ІНМА'!$N$15+'ОЗ-ІНМА'!$O$15</f>
        <v>0</v>
      </c>
      <c r="G29" s="952" t="s">
        <v>1518</v>
      </c>
      <c r="H29" s="952"/>
      <c r="I29" s="952"/>
      <c r="J29" s="952"/>
    </row>
    <row r="30" spans="1:10" ht="33.75" customHeight="1">
      <c r="A30" s="778" t="s">
        <v>155</v>
      </c>
      <c r="B30" s="774">
        <f>SUM(C30:F30)</f>
        <v>0</v>
      </c>
      <c r="C30" s="775">
        <f ca="1">'ОЗ-ІНМА'!D4+'ОЗ-ІНМА'!E4+'ОЗ-ІНМА'!F4+'ОЗ-ІНМА'!D18+'ОЗ-ІНМА'!E18+'ОЗ-ІНМА'!F18</f>
        <v>0</v>
      </c>
      <c r="D30" s="775">
        <f ca="1">'ОЗ-ІНМА'!G4+'ОЗ-ІНМА'!H4+'ОЗ-ІНМА'!I4+'ОЗ-ІНМА'!G18+'ОЗ-ІНМА'!H18+'ОЗ-ІНМА'!I18</f>
        <v>0</v>
      </c>
      <c r="E30" s="775">
        <f ca="1">'ОЗ-ІНМА'!J4+'ОЗ-ІНМА'!K4+'ОЗ-ІНМА'!L4+'ОЗ-ІНМА'!J18+'ОЗ-ІНМА'!K18+'ОЗ-ІНМА'!L18</f>
        <v>0</v>
      </c>
      <c r="F30" s="775">
        <f ca="1">'ОЗ-ІНМА'!M4+'ОЗ-ІНМА'!N4+'ОЗ-ІНМА'!O4+'ОЗ-ІНМА'!M18+'ОЗ-ІНМА'!N18+'ОЗ-ІНМА'!O18</f>
        <v>0</v>
      </c>
      <c r="G30" s="952" t="s">
        <v>156</v>
      </c>
      <c r="H30" s="952"/>
      <c r="I30" s="952"/>
      <c r="J30" s="952"/>
    </row>
    <row r="31" spans="1:10" ht="33.75" customHeight="1">
      <c r="A31" s="778" t="s">
        <v>157</v>
      </c>
      <c r="B31" s="774">
        <f>SUM(C31:F31)</f>
        <v>0</v>
      </c>
      <c r="C31" s="775">
        <f ca="1">'ОЗ-ІНМА'!D21+'ОЗ-ІНМА'!E21+'ОЗ-ІНМА'!F21</f>
        <v>0</v>
      </c>
      <c r="D31" s="775">
        <f ca="1">'ОЗ-ІНМА'!G21+'ОЗ-ІНМА'!H21+'ОЗ-ІНМА'!I21</f>
        <v>0</v>
      </c>
      <c r="E31" s="775">
        <f ca="1">'ОЗ-ІНМА'!J21+'ОЗ-ІНМА'!K21+'ОЗ-ІНМА'!L21</f>
        <v>0</v>
      </c>
      <c r="F31" s="775">
        <f ca="1">'ОЗ-ІНМА'!M21+'ОЗ-ІНМА'!N21+'ОЗ-ІНМА'!O21</f>
        <v>0</v>
      </c>
      <c r="G31" s="952" t="s">
        <v>156</v>
      </c>
      <c r="H31" s="952"/>
      <c r="I31" s="952"/>
      <c r="J31" s="952"/>
    </row>
    <row r="32" spans="1:10" ht="33.75" customHeight="1">
      <c r="A32" s="778" t="s">
        <v>158</v>
      </c>
      <c r="B32" s="774">
        <f t="shared" si="3"/>
        <v>0</v>
      </c>
      <c r="C32" s="775">
        <v>0</v>
      </c>
      <c r="D32" s="775">
        <v>0</v>
      </c>
      <c r="E32" s="775">
        <v>0</v>
      </c>
      <c r="F32" s="775">
        <v>0</v>
      </c>
      <c r="G32" s="952" t="s">
        <v>156</v>
      </c>
      <c r="H32" s="952"/>
      <c r="I32" s="952"/>
      <c r="J32" s="952"/>
    </row>
    <row r="33" spans="1:10" ht="43.5" customHeight="1">
      <c r="A33" s="778" t="s">
        <v>159</v>
      </c>
      <c r="B33" s="774">
        <f t="shared" si="3"/>
        <v>0</v>
      </c>
      <c r="C33" s="775">
        <v>0</v>
      </c>
      <c r="D33" s="775">
        <v>0</v>
      </c>
      <c r="E33" s="775">
        <v>0</v>
      </c>
      <c r="F33" s="775">
        <v>0</v>
      </c>
      <c r="G33" s="952" t="s">
        <v>160</v>
      </c>
      <c r="H33" s="952"/>
      <c r="I33" s="952"/>
      <c r="J33" s="952"/>
    </row>
    <row r="34" spans="1:10" ht="18" customHeight="1">
      <c r="A34" s="778" t="s">
        <v>1348</v>
      </c>
      <c r="B34" s="774">
        <f>SUM(C34:F34)</f>
        <v>0</v>
      </c>
      <c r="C34" s="775">
        <f ca="1">'ОЗ-ІНМА'!$D$12+'ОЗ-ІНМА'!$E$12+'ОЗ-ІНМА'!$F$12</f>
        <v>0</v>
      </c>
      <c r="D34" s="775">
        <f ca="1">'ОЗ-ІНМА'!G12+'ОЗ-ІНМА'!H12+'ОЗ-ІНМА'!I12</f>
        <v>0</v>
      </c>
      <c r="E34" s="775">
        <f ca="1">'ОЗ-ІНМА'!J12+'ОЗ-ІНМА'!K12+'ОЗ-ІНМА'!L12</f>
        <v>0</v>
      </c>
      <c r="F34" s="775">
        <f ca="1">'ОЗ-ІНМА'!M12+'ОЗ-ІНМА'!N12+'ОЗ-ІНМА'!O12</f>
        <v>0</v>
      </c>
      <c r="G34" s="952" t="s">
        <v>1518</v>
      </c>
      <c r="H34" s="952"/>
      <c r="I34" s="952"/>
      <c r="J34" s="952"/>
    </row>
    <row r="35" spans="1:10" ht="27" customHeight="1">
      <c r="A35" s="779" t="s">
        <v>1548</v>
      </c>
      <c r="B35" s="774">
        <f>SUM(C35:F35)</f>
        <v>0</v>
      </c>
      <c r="C35" s="775"/>
      <c r="D35" s="775"/>
      <c r="E35" s="775"/>
      <c r="F35" s="775"/>
      <c r="G35" s="952" t="s">
        <v>161</v>
      </c>
      <c r="H35" s="952"/>
      <c r="I35" s="952"/>
      <c r="J35" s="952"/>
    </row>
    <row r="36" spans="1:10" ht="33.75" customHeight="1">
      <c r="A36" s="778" t="s">
        <v>162</v>
      </c>
      <c r="B36" s="774">
        <f>SUM(C36:F36)</f>
        <v>3279066.5999999996</v>
      </c>
      <c r="C36" s="775">
        <f>273255.55*3</f>
        <v>819766.64999999991</v>
      </c>
      <c r="D36" s="775">
        <f>273255.55*3</f>
        <v>819766.64999999991</v>
      </c>
      <c r="E36" s="775">
        <f>273255.55*3</f>
        <v>819766.64999999991</v>
      </c>
      <c r="F36" s="775">
        <f>273255.55*3</f>
        <v>819766.64999999991</v>
      </c>
      <c r="G36" s="949" t="s">
        <v>163</v>
      </c>
      <c r="H36" s="949"/>
      <c r="I36" s="949"/>
      <c r="J36" s="949"/>
    </row>
    <row r="37" spans="1:10" ht="15" customHeight="1">
      <c r="A37" s="780" t="s">
        <v>164</v>
      </c>
      <c r="B37" s="780"/>
      <c r="C37" s="780"/>
      <c r="D37" s="780"/>
      <c r="E37" s="780"/>
      <c r="F37" s="780"/>
      <c r="G37" s="506"/>
      <c r="H37" s="506"/>
      <c r="I37" s="506"/>
      <c r="J37" s="506"/>
    </row>
    <row r="38" spans="1:10" ht="20.25">
      <c r="A38" s="785" t="s">
        <v>1351</v>
      </c>
      <c r="B38" s="790">
        <f>SUM(B5:B20)+SUM(B28:B34)</f>
        <v>63915904.578105725</v>
      </c>
      <c r="C38" s="790">
        <f>SUM(C5:C20)+SUM(C28:C34)</f>
        <v>17115084.107351679</v>
      </c>
      <c r="D38" s="790">
        <f>SUM(D5:D20)+SUM(D28:D34)</f>
        <v>15323415.241254916</v>
      </c>
      <c r="E38" s="790">
        <f>SUM(E5:E20)+SUM(E28:E34)</f>
        <v>14931072.661253991</v>
      </c>
      <c r="F38" s="790">
        <f>SUM(F5:F20)+SUM(F28:F34)</f>
        <v>16546332.568245141</v>
      </c>
    </row>
    <row r="39" spans="1:10" hidden="1"/>
    <row r="40" spans="1:10" hidden="1">
      <c r="B40" s="765">
        <f ca="1">'!!! ФІНАНСОВИЙ ПЛАН 2023 !!!'!G81</f>
        <v>63915904.578105733</v>
      </c>
      <c r="C40" s="765">
        <f ca="1">'!!! ФІНАНСОВИЙ ПЛАН 2023 !!!'!H81</f>
        <v>17115084.107351679</v>
      </c>
      <c r="D40" s="765">
        <f ca="1">'!!! ФІНАНСОВИЙ ПЛАН 2023 !!!'!I81</f>
        <v>15323415.241254916</v>
      </c>
      <c r="E40" s="765">
        <f ca="1">'!!! ФІНАНСОВИЙ ПЛАН 2023 !!!'!J81</f>
        <v>14931072.661253992</v>
      </c>
      <c r="F40" s="765">
        <f ca="1">'!!! ФІНАНСОВИЙ ПЛАН 2023 !!!'!K81</f>
        <v>16546332.568245143</v>
      </c>
    </row>
    <row r="42" spans="1:10">
      <c r="B42" s="804">
        <f>B38-B40</f>
        <v>0</v>
      </c>
      <c r="C42" s="765">
        <f>C38-C40</f>
        <v>0</v>
      </c>
      <c r="D42" s="765">
        <f>D38-D40</f>
        <v>0</v>
      </c>
      <c r="E42" s="765">
        <f>E38-E40</f>
        <v>0</v>
      </c>
      <c r="F42" s="765">
        <f>F38-F40</f>
        <v>0</v>
      </c>
    </row>
    <row r="43" spans="1:10">
      <c r="A43" s="803" t="s">
        <v>196</v>
      </c>
      <c r="B43" s="829">
        <f>B38</f>
        <v>63915904.578105725</v>
      </c>
    </row>
    <row r="44" spans="1:10">
      <c r="A44" s="803" t="s">
        <v>174</v>
      </c>
      <c r="B44" s="829">
        <f ca="1">Доходи!H22</f>
        <v>67371042.886412382</v>
      </c>
    </row>
    <row r="45" spans="1:10">
      <c r="A45" s="803" t="s">
        <v>1478</v>
      </c>
      <c r="B45" s="829">
        <f>B44-B38</f>
        <v>3455138.3083066568</v>
      </c>
    </row>
  </sheetData>
  <mergeCells count="34">
    <mergeCell ref="G18:J18"/>
    <mergeCell ref="G36:J36"/>
    <mergeCell ref="G25:J25"/>
    <mergeCell ref="G26:J26"/>
    <mergeCell ref="G27:J27"/>
    <mergeCell ref="G28:J28"/>
    <mergeCell ref="G29:J29"/>
    <mergeCell ref="G30:J30"/>
    <mergeCell ref="G31:J31"/>
    <mergeCell ref="G32:J32"/>
    <mergeCell ref="G11:J11"/>
    <mergeCell ref="G12:J12"/>
    <mergeCell ref="G13:J13"/>
    <mergeCell ref="G14:J14"/>
    <mergeCell ref="G15:J15"/>
    <mergeCell ref="G16:J16"/>
    <mergeCell ref="G19:J19"/>
    <mergeCell ref="G20:J20"/>
    <mergeCell ref="G22:J22"/>
    <mergeCell ref="G23:J23"/>
    <mergeCell ref="G34:J34"/>
    <mergeCell ref="G35:J35"/>
    <mergeCell ref="G24:J24"/>
    <mergeCell ref="G33:J33"/>
    <mergeCell ref="G17:J17"/>
    <mergeCell ref="G21:J21"/>
    <mergeCell ref="G10:J10"/>
    <mergeCell ref="A2:F2"/>
    <mergeCell ref="G4:J4"/>
    <mergeCell ref="G7:J7"/>
    <mergeCell ref="G8:J8"/>
    <mergeCell ref="G9:J9"/>
    <mergeCell ref="G5:J5"/>
    <mergeCell ref="G6:J6"/>
  </mergeCells>
  <phoneticPr fontId="55" type="noConversion"/>
  <conditionalFormatting sqref="C22:F36 C7:F19">
    <cfRule type="notContainsBlanks" dxfId="15" priority="1">
      <formula>LEN(TRIM(C7))&gt;0</formula>
    </cfRule>
  </conditionalFormatting>
  <pageMargins left="0.25" right="0.25" top="0.75" bottom="0.75" header="0.3" footer="0.3"/>
  <pageSetup paperSize="9" scale="4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39"/>
  <sheetViews>
    <sheetView view="pageBreakPreview" zoomScale="75" zoomScaleNormal="100" zoomScaleSheetLayoutView="75" workbookViewId="0">
      <selection activeCell="G31" sqref="G31"/>
    </sheetView>
  </sheetViews>
  <sheetFormatPr defaultRowHeight="15"/>
  <cols>
    <col min="1" max="1" width="1.7109375" style="352" customWidth="1"/>
    <col min="2" max="2" width="41.85546875" style="339" bestFit="1" customWidth="1"/>
    <col min="3" max="3" width="57.42578125" style="353" customWidth="1"/>
    <col min="4" max="4" width="13" style="340" bestFit="1" customWidth="1"/>
    <col min="5" max="6" width="13.42578125" style="340" bestFit="1" customWidth="1"/>
    <col min="7" max="7" width="15.42578125" style="340" bestFit="1" customWidth="1"/>
    <col min="8" max="8" width="14" style="340" customWidth="1"/>
    <col min="9" max="10" width="13" style="340" bestFit="1" customWidth="1"/>
    <col min="11" max="11" width="13.42578125" style="340" bestFit="1" customWidth="1"/>
    <col min="12" max="15" width="13" style="340" bestFit="1" customWidth="1"/>
    <col min="16" max="16" width="12.85546875" style="340" bestFit="1" customWidth="1"/>
  </cols>
  <sheetData>
    <row r="1" spans="1:17"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</row>
    <row r="2" spans="1:17">
      <c r="B2" s="342" t="s">
        <v>1549</v>
      </c>
      <c r="C2" s="354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>
        <f>P4+P21</f>
        <v>0</v>
      </c>
    </row>
    <row r="3" spans="1:17" s="284" customFormat="1">
      <c r="A3" s="79"/>
      <c r="B3" s="344" t="s">
        <v>1680</v>
      </c>
      <c r="C3" s="363" t="s">
        <v>1681</v>
      </c>
      <c r="D3" s="78" t="s">
        <v>1227</v>
      </c>
      <c r="E3" s="78" t="s">
        <v>1375</v>
      </c>
      <c r="F3" s="78" t="s">
        <v>1376</v>
      </c>
      <c r="G3" s="78" t="s">
        <v>1377</v>
      </c>
      <c r="H3" s="78" t="s">
        <v>1378</v>
      </c>
      <c r="I3" s="78" t="s">
        <v>1379</v>
      </c>
      <c r="J3" s="78" t="s">
        <v>1228</v>
      </c>
      <c r="K3" s="78" t="s">
        <v>1381</v>
      </c>
      <c r="L3" s="78" t="s">
        <v>1382</v>
      </c>
      <c r="M3" s="78" t="s">
        <v>1383</v>
      </c>
      <c r="N3" s="78" t="s">
        <v>1384</v>
      </c>
      <c r="O3" s="78" t="s">
        <v>1385</v>
      </c>
      <c r="P3" s="78">
        <v>2025</v>
      </c>
      <c r="Q3" s="284">
        <f>Q4+Q21</f>
        <v>0</v>
      </c>
    </row>
    <row r="4" spans="1:17" ht="18.75">
      <c r="B4" s="346"/>
      <c r="C4" s="355"/>
      <c r="D4" s="846">
        <f>SUM(D5:D11)</f>
        <v>0</v>
      </c>
      <c r="E4" s="846">
        <f>SUM(E5:E11)</f>
        <v>0</v>
      </c>
      <c r="F4" s="846">
        <f>SUM(F5:F11)</f>
        <v>0</v>
      </c>
      <c r="G4" s="846">
        <f t="shared" ref="G4:N4" si="0">SUM(G5:G11)</f>
        <v>0</v>
      </c>
      <c r="H4" s="846">
        <f t="shared" si="0"/>
        <v>0</v>
      </c>
      <c r="I4" s="846">
        <f t="shared" si="0"/>
        <v>0</v>
      </c>
      <c r="J4" s="846">
        <f t="shared" si="0"/>
        <v>0</v>
      </c>
      <c r="K4" s="846">
        <f t="shared" si="0"/>
        <v>0</v>
      </c>
      <c r="L4" s="846">
        <f t="shared" si="0"/>
        <v>0</v>
      </c>
      <c r="M4" s="846">
        <f t="shared" si="0"/>
        <v>0</v>
      </c>
      <c r="N4" s="846">
        <f t="shared" si="0"/>
        <v>0</v>
      </c>
      <c r="O4" s="846">
        <f>SUM(O5:O11)</f>
        <v>0</v>
      </c>
      <c r="P4" s="847">
        <f>SUM(P5:P11)</f>
        <v>0</v>
      </c>
    </row>
    <row r="5" spans="1:17">
      <c r="B5" s="612" t="s">
        <v>657</v>
      </c>
      <c r="C5" s="613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8"/>
      <c r="P5" s="375">
        <f t="shared" ref="P5:P11" si="1">SUM(D5:O5)</f>
        <v>0</v>
      </c>
    </row>
    <row r="6" spans="1:17">
      <c r="B6" s="614" t="s">
        <v>658</v>
      </c>
      <c r="C6" s="615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8"/>
      <c r="O6" s="348"/>
      <c r="P6" s="375">
        <f t="shared" si="1"/>
        <v>0</v>
      </c>
    </row>
    <row r="7" spans="1:17">
      <c r="B7" s="614" t="s">
        <v>659</v>
      </c>
      <c r="C7" s="615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8"/>
      <c r="O7" s="348"/>
      <c r="P7" s="375">
        <f t="shared" si="1"/>
        <v>0</v>
      </c>
    </row>
    <row r="8" spans="1:17">
      <c r="B8" s="614" t="s">
        <v>660</v>
      </c>
      <c r="C8" s="616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8"/>
      <c r="P8" s="375">
        <f t="shared" si="1"/>
        <v>0</v>
      </c>
    </row>
    <row r="9" spans="1:17">
      <c r="B9" s="636" t="s">
        <v>200</v>
      </c>
      <c r="C9" s="850" t="s">
        <v>201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75">
        <f t="shared" si="1"/>
        <v>0</v>
      </c>
    </row>
    <row r="10" spans="1:17">
      <c r="B10" s="617" t="s">
        <v>661</v>
      </c>
      <c r="C10" s="615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8"/>
      <c r="O10" s="348"/>
      <c r="P10" s="375">
        <f>SUM(D10:O10)</f>
        <v>0</v>
      </c>
    </row>
    <row r="11" spans="1:17">
      <c r="B11" s="617" t="s">
        <v>662</v>
      </c>
      <c r="C11" s="615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8"/>
      <c r="O11" s="348"/>
      <c r="P11" s="375">
        <f t="shared" si="1"/>
        <v>0</v>
      </c>
    </row>
    <row r="12" spans="1:17" ht="15.75">
      <c r="B12" s="825" t="s">
        <v>1348</v>
      </c>
      <c r="C12" s="357"/>
      <c r="D12" s="343">
        <f>SUM(D13:D14)</f>
        <v>0</v>
      </c>
      <c r="E12" s="343">
        <f t="shared" ref="E12:N12" si="2">SUM(E13:E14)</f>
        <v>0</v>
      </c>
      <c r="F12" s="343">
        <f t="shared" si="2"/>
        <v>0</v>
      </c>
      <c r="G12" s="343">
        <f t="shared" si="2"/>
        <v>0</v>
      </c>
      <c r="H12" s="343">
        <f t="shared" si="2"/>
        <v>0</v>
      </c>
      <c r="I12" s="343">
        <f t="shared" si="2"/>
        <v>0</v>
      </c>
      <c r="J12" s="343">
        <f t="shared" si="2"/>
        <v>0</v>
      </c>
      <c r="K12" s="343">
        <f t="shared" si="2"/>
        <v>0</v>
      </c>
      <c r="L12" s="343">
        <f t="shared" si="2"/>
        <v>0</v>
      </c>
      <c r="M12" s="343">
        <f t="shared" si="2"/>
        <v>0</v>
      </c>
      <c r="N12" s="343">
        <f t="shared" si="2"/>
        <v>0</v>
      </c>
      <c r="O12" s="343">
        <f>SUM(O13:O14)</f>
        <v>0</v>
      </c>
      <c r="P12" s="375">
        <f>SUM(D12:O12)</f>
        <v>0</v>
      </c>
    </row>
    <row r="13" spans="1:17" ht="15.75">
      <c r="B13" s="825"/>
      <c r="C13" s="357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75">
        <f t="shared" ref="P13:P18" si="3">SUM(D13:O13)</f>
        <v>0</v>
      </c>
    </row>
    <row r="14" spans="1:17" ht="15.75">
      <c r="B14" s="825"/>
      <c r="C14" s="357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75">
        <f t="shared" si="3"/>
        <v>0</v>
      </c>
    </row>
    <row r="15" spans="1:17" ht="15.75">
      <c r="B15" s="825" t="s">
        <v>154</v>
      </c>
      <c r="C15" s="357"/>
      <c r="D15" s="343">
        <f>SUM(D16:D17)</f>
        <v>0</v>
      </c>
      <c r="E15" s="343">
        <f>SUM(E16:E17)</f>
        <v>0</v>
      </c>
      <c r="F15" s="343">
        <f t="shared" ref="F15:N15" si="4">SUM(F16:F17)</f>
        <v>0</v>
      </c>
      <c r="G15" s="343">
        <f t="shared" si="4"/>
        <v>0</v>
      </c>
      <c r="H15" s="343">
        <f t="shared" si="4"/>
        <v>0</v>
      </c>
      <c r="I15" s="343">
        <f t="shared" si="4"/>
        <v>0</v>
      </c>
      <c r="J15" s="343">
        <f t="shared" si="4"/>
        <v>0</v>
      </c>
      <c r="K15" s="343">
        <f t="shared" si="4"/>
        <v>0</v>
      </c>
      <c r="L15" s="343">
        <f t="shared" si="4"/>
        <v>0</v>
      </c>
      <c r="M15" s="343">
        <f t="shared" si="4"/>
        <v>0</v>
      </c>
      <c r="N15" s="343">
        <f t="shared" si="4"/>
        <v>0</v>
      </c>
      <c r="O15" s="343">
        <f>SUM(O16:O17)</f>
        <v>0</v>
      </c>
      <c r="P15" s="375">
        <f>SUM(D15:O15)</f>
        <v>0</v>
      </c>
    </row>
    <row r="16" spans="1:17" ht="15.75">
      <c r="B16" s="825"/>
      <c r="C16" s="357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75">
        <f t="shared" si="3"/>
        <v>0</v>
      </c>
    </row>
    <row r="17" spans="1:16" ht="15.75">
      <c r="B17" s="825"/>
      <c r="C17" s="357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75">
        <f t="shared" si="3"/>
        <v>0</v>
      </c>
    </row>
    <row r="18" spans="1:16" ht="15.75">
      <c r="B18" s="825" t="s">
        <v>191</v>
      </c>
      <c r="C18" s="824" t="s">
        <v>192</v>
      </c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849">
        <f t="shared" si="3"/>
        <v>0</v>
      </c>
    </row>
    <row r="19" spans="1:16">
      <c r="B19" s="342" t="s">
        <v>639</v>
      </c>
      <c r="C19" s="354"/>
      <c r="D19" s="349"/>
      <c r="E19" s="347"/>
      <c r="F19" s="349"/>
      <c r="G19" s="349"/>
      <c r="H19" s="349"/>
      <c r="I19" s="349"/>
      <c r="J19" s="349"/>
      <c r="K19" s="349"/>
      <c r="L19" s="246"/>
      <c r="M19" s="349"/>
      <c r="N19" s="349"/>
      <c r="O19" s="246"/>
      <c r="P19" s="375">
        <f>SUM(D19:O19)</f>
        <v>0</v>
      </c>
    </row>
    <row r="20" spans="1:16" s="284" customFormat="1">
      <c r="A20" s="79"/>
      <c r="B20" s="344"/>
      <c r="C20" s="363" t="s">
        <v>1681</v>
      </c>
      <c r="D20" s="345" t="s">
        <v>1227</v>
      </c>
      <c r="E20" s="345" t="s">
        <v>1375</v>
      </c>
      <c r="F20" s="345" t="s">
        <v>1376</v>
      </c>
      <c r="G20" s="345" t="s">
        <v>1377</v>
      </c>
      <c r="H20" s="345" t="s">
        <v>1378</v>
      </c>
      <c r="I20" s="345" t="s">
        <v>1379</v>
      </c>
      <c r="J20" s="345" t="s">
        <v>1228</v>
      </c>
      <c r="K20" s="345" t="s">
        <v>1381</v>
      </c>
      <c r="L20" s="345" t="s">
        <v>1382</v>
      </c>
      <c r="M20" s="345" t="s">
        <v>1383</v>
      </c>
      <c r="N20" s="345" t="s">
        <v>1384</v>
      </c>
      <c r="O20" s="78" t="s">
        <v>1385</v>
      </c>
      <c r="P20" s="376">
        <v>2025</v>
      </c>
    </row>
    <row r="21" spans="1:16" ht="18.75">
      <c r="B21" s="350"/>
      <c r="C21" s="355"/>
      <c r="D21" s="848">
        <f>SUM(D22:D39)</f>
        <v>0</v>
      </c>
      <c r="E21" s="848">
        <f>SUM(E22:E39)</f>
        <v>0</v>
      </c>
      <c r="F21" s="848">
        <f>SUM(F22:F39)</f>
        <v>0</v>
      </c>
      <c r="G21" s="848">
        <f>SUM(G22:G39)</f>
        <v>0</v>
      </c>
      <c r="H21" s="848">
        <f>SUM(H22:H39)</f>
        <v>0</v>
      </c>
      <c r="I21" s="848">
        <f t="shared" ref="I21:O21" si="5">SUM(I22:I39)</f>
        <v>0</v>
      </c>
      <c r="J21" s="848">
        <f t="shared" si="5"/>
        <v>0</v>
      </c>
      <c r="K21" s="848">
        <f t="shared" si="5"/>
        <v>0</v>
      </c>
      <c r="L21" s="848">
        <f t="shared" si="5"/>
        <v>0</v>
      </c>
      <c r="M21" s="848">
        <f t="shared" si="5"/>
        <v>0</v>
      </c>
      <c r="N21" s="848">
        <f t="shared" si="5"/>
        <v>0</v>
      </c>
      <c r="O21" s="848">
        <f t="shared" si="5"/>
        <v>0</v>
      </c>
      <c r="P21" s="847">
        <f>SUM(D21:O21)</f>
        <v>0</v>
      </c>
    </row>
    <row r="22" spans="1:16">
      <c r="B22" s="351"/>
      <c r="C22" s="358" t="s">
        <v>649</v>
      </c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75">
        <f>SUM(D22:O22)</f>
        <v>0</v>
      </c>
    </row>
    <row r="23" spans="1:16">
      <c r="B23" s="351"/>
      <c r="C23" s="358" t="s">
        <v>644</v>
      </c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75">
        <f t="shared" ref="P23:P39" si="6">SUM(D23:O23)</f>
        <v>0</v>
      </c>
    </row>
    <row r="24" spans="1:16">
      <c r="B24" s="351"/>
      <c r="C24" s="356" t="s">
        <v>652</v>
      </c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75">
        <f t="shared" si="6"/>
        <v>0</v>
      </c>
    </row>
    <row r="25" spans="1:16">
      <c r="B25" s="351"/>
      <c r="C25" s="358" t="s">
        <v>648</v>
      </c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75">
        <f t="shared" si="6"/>
        <v>0</v>
      </c>
    </row>
    <row r="26" spans="1:16">
      <c r="B26" s="351"/>
      <c r="C26" s="359" t="s">
        <v>638</v>
      </c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75">
        <f t="shared" si="6"/>
        <v>0</v>
      </c>
    </row>
    <row r="27" spans="1:16">
      <c r="B27" s="351"/>
      <c r="C27" s="360" t="s">
        <v>653</v>
      </c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75">
        <f t="shared" si="6"/>
        <v>0</v>
      </c>
    </row>
    <row r="28" spans="1:16">
      <c r="B28" s="351"/>
      <c r="C28" s="358" t="s">
        <v>645</v>
      </c>
      <c r="D28" s="343"/>
      <c r="E28" s="343"/>
      <c r="F28" s="343"/>
      <c r="G28" s="343"/>
      <c r="H28" s="659"/>
      <c r="I28" s="343"/>
      <c r="J28" s="343"/>
      <c r="K28" s="343"/>
      <c r="L28" s="343"/>
      <c r="M28" s="343"/>
      <c r="N28" s="343"/>
      <c r="O28" s="343"/>
      <c r="P28" s="375">
        <f t="shared" si="6"/>
        <v>0</v>
      </c>
    </row>
    <row r="29" spans="1:16">
      <c r="B29" s="351"/>
      <c r="C29" s="361" t="s">
        <v>656</v>
      </c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75">
        <f t="shared" si="6"/>
        <v>0</v>
      </c>
    </row>
    <row r="30" spans="1:16">
      <c r="B30" s="351"/>
      <c r="C30" s="358" t="s">
        <v>651</v>
      </c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75">
        <f t="shared" si="6"/>
        <v>0</v>
      </c>
    </row>
    <row r="31" spans="1:16" ht="24.75">
      <c r="B31" s="351"/>
      <c r="C31" s="361" t="s">
        <v>655</v>
      </c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75">
        <f t="shared" si="6"/>
        <v>0</v>
      </c>
    </row>
    <row r="32" spans="1:16">
      <c r="B32" s="351"/>
      <c r="C32" s="358" t="s">
        <v>641</v>
      </c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75">
        <f t="shared" si="6"/>
        <v>0</v>
      </c>
    </row>
    <row r="33" spans="2:16">
      <c r="B33" s="351"/>
      <c r="C33" s="358" t="s">
        <v>650</v>
      </c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75">
        <f t="shared" si="6"/>
        <v>0</v>
      </c>
    </row>
    <row r="34" spans="2:16">
      <c r="B34" s="351"/>
      <c r="C34" s="358" t="s">
        <v>642</v>
      </c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75">
        <f t="shared" si="6"/>
        <v>0</v>
      </c>
    </row>
    <row r="35" spans="2:16">
      <c r="B35" s="351"/>
      <c r="C35" s="358" t="s">
        <v>647</v>
      </c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75">
        <f t="shared" si="6"/>
        <v>0</v>
      </c>
    </row>
    <row r="36" spans="2:16">
      <c r="B36" s="351"/>
      <c r="C36" s="358" t="s">
        <v>646</v>
      </c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75">
        <f>SUM(D36:O36)</f>
        <v>0</v>
      </c>
    </row>
    <row r="37" spans="2:16">
      <c r="B37" s="351"/>
      <c r="C37" s="358" t="s">
        <v>640</v>
      </c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75">
        <f t="shared" si="6"/>
        <v>0</v>
      </c>
    </row>
    <row r="38" spans="2:16">
      <c r="B38" s="351"/>
      <c r="C38" s="358" t="s">
        <v>643</v>
      </c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75">
        <f t="shared" si="6"/>
        <v>0</v>
      </c>
    </row>
    <row r="39" spans="2:16">
      <c r="B39" s="351"/>
      <c r="C39" s="360" t="s">
        <v>654</v>
      </c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75">
        <f t="shared" si="6"/>
        <v>0</v>
      </c>
    </row>
  </sheetData>
  <phoneticPr fontId="55" type="noConversion"/>
  <hyperlinks>
    <hyperlink ref="C23" r:id="rId1" display="https://prozorro.gov.ua/tender/UA-2022-05-27-002362-a"/>
    <hyperlink ref="C34" r:id="rId2" display="https://prozorro.gov.ua/tender/UA-2022-02-15-004370-b"/>
    <hyperlink ref="C37" r:id="rId3" display="https://prozorro.gov.ua/tender/UA-2022-01-26-008402-b"/>
    <hyperlink ref="C38" r:id="rId4" display="https://prozorro.gov.ua/tender/UA-2022-04-20-000925-a"/>
    <hyperlink ref="C25" r:id="rId5" display="https://prozorro.gov.ua/tender/UA-2022-06-15-004172-a"/>
    <hyperlink ref="C22" r:id="rId6" display="https://prozorro.gov.ua/tender/UA-2022-06-14-003890-a"/>
    <hyperlink ref="C26" r:id="rId7" display="https://prozorro.gov.ua/tender/UA-2022-03-24-003253-b"/>
    <hyperlink ref="C32" r:id="rId8" display="https://prozorro.gov.ua/tender/UA-2022-01-24-008182-b"/>
    <hyperlink ref="C28" r:id="rId9" display="https://prozorro.gov.ua/tender/UA-2022-05-20-003869-a"/>
    <hyperlink ref="C36" r:id="rId10" display="https://prozorro.gov.ua/tender/UA-2022-06-07-006394-a"/>
    <hyperlink ref="C35" r:id="rId11" display="https://prozorro.gov.ua/tender/UA-2022-06-09-002320-a"/>
    <hyperlink ref="C30" r:id="rId12" display="https://prozorro.gov.ua/tender/UA-2022-06-23-002141-a"/>
    <hyperlink ref="C33" r:id="rId13" display="https://prozorro.gov.ua/tender/UA-2022-06-16-005707-a"/>
    <hyperlink ref="C24" r:id="rId14" display="https://prozorro.gov.ua/tender/UA-2022-06-15-003675-a"/>
    <hyperlink ref="C31" r:id="rId15" display="https://prozorro.gov.ua/tender/UA-2022-09-06-009534-a"/>
    <hyperlink ref="C29" r:id="rId16" display="https://prozorro.gov.ua/tender/UA-2022-09-14-006362-a"/>
  </hyperlinks>
  <pageMargins left="0" right="0" top="0" bottom="0" header="0" footer="0"/>
  <pageSetup paperSize="9" scale="52" orientation="landscape" verticalDpi="0" r:id="rId17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T92"/>
  <sheetViews>
    <sheetView view="pageBreakPreview" zoomScale="60" zoomScaleNormal="60" workbookViewId="0">
      <pane xSplit="3" ySplit="5" topLeftCell="D61" activePane="bottomRight" state="frozen"/>
      <selection pane="topRight" activeCell="D1" sqref="D1"/>
      <selection pane="bottomLeft" activeCell="A6" sqref="A6"/>
      <selection pane="bottomRight" activeCell="I15" sqref="I15"/>
    </sheetView>
  </sheetViews>
  <sheetFormatPr defaultRowHeight="19.5"/>
  <cols>
    <col min="1" max="1" width="3.140625" customWidth="1"/>
    <col min="2" max="2" width="120.5703125" style="300" customWidth="1"/>
    <col min="3" max="3" width="16.42578125" style="301" bestFit="1" customWidth="1"/>
    <col min="4" max="5" width="15" style="300" bestFit="1" customWidth="1"/>
    <col min="6" max="6" width="13.5703125" style="300" bestFit="1" customWidth="1"/>
    <col min="7" max="8" width="15" style="300" bestFit="1" customWidth="1"/>
    <col min="9" max="9" width="13.5703125" style="300" bestFit="1" customWidth="1"/>
    <col min="10" max="11" width="15" style="300" bestFit="1" customWidth="1"/>
    <col min="12" max="12" width="15" style="302" bestFit="1" customWidth="1"/>
    <col min="13" max="13" width="15" style="300" bestFit="1" customWidth="1"/>
    <col min="14" max="14" width="13.5703125" style="300" bestFit="1" customWidth="1"/>
    <col min="15" max="15" width="13.5703125" style="302" bestFit="1" customWidth="1"/>
    <col min="16" max="16" width="17.140625" style="302" customWidth="1"/>
    <col min="18" max="18" width="14.42578125" bestFit="1" customWidth="1"/>
    <col min="19" max="19" width="11" bestFit="1" customWidth="1"/>
  </cols>
  <sheetData>
    <row r="1" spans="2:20">
      <c r="B1" s="291"/>
      <c r="C1" s="292"/>
      <c r="D1" s="293"/>
      <c r="E1" s="293"/>
      <c r="F1" s="293"/>
      <c r="G1" s="293"/>
      <c r="H1" s="293"/>
      <c r="I1" s="293"/>
      <c r="J1" s="293"/>
      <c r="K1" s="293"/>
      <c r="L1" s="294"/>
      <c r="M1" s="293"/>
      <c r="N1" s="293"/>
      <c r="O1" s="294"/>
      <c r="P1" s="293"/>
    </row>
    <row r="2" spans="2:20">
      <c r="B2" s="291" t="s">
        <v>685</v>
      </c>
      <c r="C2" s="292"/>
      <c r="D2" s="291" t="s">
        <v>1227</v>
      </c>
      <c r="E2" s="291" t="s">
        <v>1375</v>
      </c>
      <c r="F2" s="291" t="s">
        <v>1376</v>
      </c>
      <c r="G2" s="291" t="s">
        <v>1377</v>
      </c>
      <c r="H2" s="291" t="s">
        <v>1378</v>
      </c>
      <c r="I2" s="291" t="s">
        <v>1379</v>
      </c>
      <c r="J2" s="291" t="s">
        <v>1228</v>
      </c>
      <c r="K2" s="291" t="s">
        <v>1381</v>
      </c>
      <c r="L2" s="291" t="s">
        <v>1382</v>
      </c>
      <c r="M2" s="291" t="s">
        <v>1383</v>
      </c>
      <c r="N2" s="291" t="s">
        <v>1384</v>
      </c>
      <c r="O2" s="113" t="s">
        <v>1385</v>
      </c>
      <c r="P2" s="291">
        <v>2025</v>
      </c>
    </row>
    <row r="3" spans="2:20" hidden="1">
      <c r="B3" s="295" t="s">
        <v>1232</v>
      </c>
      <c r="C3" s="296"/>
      <c r="D3" s="297">
        <f>SUM(D4:D4)</f>
        <v>0</v>
      </c>
      <c r="E3" s="297">
        <f t="shared" ref="E3:O3" si="0">SUM(E4:E4)</f>
        <v>0</v>
      </c>
      <c r="F3" s="297">
        <f t="shared" si="0"/>
        <v>0</v>
      </c>
      <c r="G3" s="297">
        <f t="shared" si="0"/>
        <v>0</v>
      </c>
      <c r="H3" s="297">
        <f t="shared" si="0"/>
        <v>0</v>
      </c>
      <c r="I3" s="297">
        <f t="shared" si="0"/>
        <v>0</v>
      </c>
      <c r="J3" s="297">
        <f t="shared" si="0"/>
        <v>0</v>
      </c>
      <c r="K3" s="297">
        <f t="shared" si="0"/>
        <v>0</v>
      </c>
      <c r="L3" s="297">
        <f t="shared" si="0"/>
        <v>0</v>
      </c>
      <c r="M3" s="297">
        <f t="shared" si="0"/>
        <v>0</v>
      </c>
      <c r="N3" s="297">
        <f t="shared" si="0"/>
        <v>0</v>
      </c>
      <c r="O3" s="297">
        <f t="shared" si="0"/>
        <v>0</v>
      </c>
      <c r="P3" s="297">
        <f>SUM(P4:P4)</f>
        <v>0</v>
      </c>
    </row>
    <row r="4" spans="2:20" hidden="1">
      <c r="B4" s="291"/>
      <c r="C4" s="292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113"/>
      <c r="P4" s="298">
        <f>SUM(D4:O4)</f>
        <v>0</v>
      </c>
    </row>
    <row r="5" spans="2:20" s="114" customFormat="1">
      <c r="B5" s="781" t="s">
        <v>1943</v>
      </c>
      <c r="C5" s="782"/>
      <c r="D5" s="783">
        <f>SUM(D6:D73)</f>
        <v>10000</v>
      </c>
      <c r="E5" s="783">
        <f>SUM(E6:E73)</f>
        <v>57770</v>
      </c>
      <c r="F5" s="783">
        <f t="shared" ref="F5:O5" si="1">SUM(F6:F73)</f>
        <v>40023</v>
      </c>
      <c r="G5" s="783">
        <f t="shared" si="1"/>
        <v>8760.2000000000007</v>
      </c>
      <c r="H5" s="783">
        <f t="shared" si="1"/>
        <v>6089</v>
      </c>
      <c r="I5" s="783">
        <f t="shared" si="1"/>
        <v>5843</v>
      </c>
      <c r="J5" s="783">
        <f t="shared" si="1"/>
        <v>10986</v>
      </c>
      <c r="K5" s="783">
        <f t="shared" si="1"/>
        <v>9600</v>
      </c>
      <c r="L5" s="783">
        <f t="shared" si="1"/>
        <v>10277</v>
      </c>
      <c r="M5" s="783">
        <f t="shared" si="1"/>
        <v>9535</v>
      </c>
      <c r="N5" s="783">
        <f>SUM(N6:N73)</f>
        <v>8300</v>
      </c>
      <c r="O5" s="783">
        <f t="shared" si="1"/>
        <v>0</v>
      </c>
      <c r="P5" s="783">
        <f>SUM(P6:P73)</f>
        <v>177183.2</v>
      </c>
      <c r="R5"/>
      <c r="S5"/>
      <c r="T5"/>
    </row>
    <row r="6" spans="2:20" s="114" customFormat="1">
      <c r="B6" s="644" t="s">
        <v>1944</v>
      </c>
      <c r="C6" s="642" t="s">
        <v>1945</v>
      </c>
      <c r="D6" s="113"/>
      <c r="E6" s="113"/>
      <c r="F6" s="113">
        <v>300</v>
      </c>
      <c r="G6" s="113"/>
      <c r="H6" s="113">
        <v>100</v>
      </c>
      <c r="I6" s="113"/>
      <c r="J6" s="113">
        <v>200</v>
      </c>
      <c r="K6" s="113"/>
      <c r="L6" s="113">
        <v>200</v>
      </c>
      <c r="M6" s="113">
        <v>600</v>
      </c>
      <c r="N6" s="113"/>
      <c r="O6" s="645"/>
      <c r="P6" s="645">
        <f t="shared" ref="P6:P73" si="2">SUM(D6:O6)</f>
        <v>1400</v>
      </c>
      <c r="R6"/>
      <c r="S6"/>
      <c r="T6"/>
    </row>
    <row r="7" spans="2:20" s="114" customFormat="1">
      <c r="B7" s="646" t="s">
        <v>1946</v>
      </c>
      <c r="C7" s="642" t="s">
        <v>1947</v>
      </c>
      <c r="D7" s="113"/>
      <c r="E7" s="113"/>
      <c r="F7" s="113"/>
      <c r="G7" s="113"/>
      <c r="H7" s="113"/>
      <c r="I7" s="113"/>
      <c r="J7" s="113"/>
      <c r="K7" s="113"/>
      <c r="L7" s="113"/>
      <c r="M7" s="113">
        <v>1000</v>
      </c>
      <c r="N7" s="113"/>
      <c r="O7" s="645"/>
      <c r="P7" s="645">
        <f t="shared" si="2"/>
        <v>1000</v>
      </c>
      <c r="R7"/>
      <c r="S7"/>
      <c r="T7"/>
    </row>
    <row r="8" spans="2:20" s="114" customFormat="1">
      <c r="B8" s="644" t="s">
        <v>1948</v>
      </c>
      <c r="C8" s="644" t="s">
        <v>1949</v>
      </c>
      <c r="D8" s="113"/>
      <c r="E8" s="113"/>
      <c r="F8" s="113"/>
      <c r="G8" s="113"/>
      <c r="H8" s="113">
        <v>1000</v>
      </c>
      <c r="I8" s="113">
        <v>500</v>
      </c>
      <c r="J8" s="113"/>
      <c r="K8" s="645">
        <v>500</v>
      </c>
      <c r="L8" s="113"/>
      <c r="M8" s="113">
        <v>400</v>
      </c>
      <c r="N8" s="113"/>
      <c r="O8" s="647"/>
      <c r="P8" s="645">
        <f t="shared" si="2"/>
        <v>2400</v>
      </c>
      <c r="R8"/>
      <c r="S8"/>
      <c r="T8"/>
    </row>
    <row r="9" spans="2:20" s="114" customFormat="1">
      <c r="B9" s="646" t="s">
        <v>1950</v>
      </c>
      <c r="C9" s="648" t="s">
        <v>1951</v>
      </c>
      <c r="D9" s="113"/>
      <c r="E9" s="113"/>
      <c r="F9" s="113"/>
      <c r="G9" s="113"/>
      <c r="H9" s="113"/>
      <c r="I9" s="113"/>
      <c r="J9" s="113"/>
      <c r="K9" s="645">
        <v>450</v>
      </c>
      <c r="L9" s="113"/>
      <c r="M9" s="113"/>
      <c r="N9" s="113"/>
      <c r="O9" s="647"/>
      <c r="P9" s="645">
        <f t="shared" si="2"/>
        <v>450</v>
      </c>
      <c r="R9"/>
      <c r="S9"/>
      <c r="T9"/>
    </row>
    <row r="10" spans="2:20" s="114" customFormat="1">
      <c r="B10" s="644" t="s">
        <v>1952</v>
      </c>
      <c r="C10" s="644" t="s">
        <v>1953</v>
      </c>
      <c r="D10" s="113"/>
      <c r="E10" s="113"/>
      <c r="F10" s="113"/>
      <c r="G10" s="113">
        <v>300</v>
      </c>
      <c r="H10" s="113">
        <v>300</v>
      </c>
      <c r="I10" s="113"/>
      <c r="J10" s="113">
        <v>300</v>
      </c>
      <c r="K10" s="645"/>
      <c r="L10" s="113">
        <v>300</v>
      </c>
      <c r="M10" s="113">
        <v>300</v>
      </c>
      <c r="N10" s="113"/>
      <c r="O10" s="647"/>
      <c r="P10" s="645">
        <f t="shared" si="2"/>
        <v>1500</v>
      </c>
      <c r="R10"/>
      <c r="S10"/>
      <c r="T10"/>
    </row>
    <row r="11" spans="2:20" s="114" customFormat="1">
      <c r="B11" s="644" t="s">
        <v>1954</v>
      </c>
      <c r="C11" s="644" t="s">
        <v>1955</v>
      </c>
      <c r="D11" s="113"/>
      <c r="E11" s="113"/>
      <c r="F11" s="113"/>
      <c r="G11" s="113"/>
      <c r="H11" s="113"/>
      <c r="I11" s="113"/>
      <c r="J11" s="113"/>
      <c r="K11" s="645"/>
      <c r="L11" s="113"/>
      <c r="M11" s="113"/>
      <c r="N11" s="113"/>
      <c r="O11" s="647"/>
      <c r="P11" s="645">
        <f t="shared" si="2"/>
        <v>0</v>
      </c>
      <c r="R11"/>
      <c r="S11"/>
      <c r="T11"/>
    </row>
    <row r="12" spans="2:20" s="114" customFormat="1">
      <c r="B12" s="644" t="s">
        <v>1956</v>
      </c>
      <c r="C12" s="644" t="s">
        <v>1957</v>
      </c>
      <c r="D12" s="113"/>
      <c r="E12" s="113"/>
      <c r="F12" s="113"/>
      <c r="G12" s="113"/>
      <c r="H12" s="113"/>
      <c r="I12" s="113"/>
      <c r="J12" s="113"/>
      <c r="K12" s="645"/>
      <c r="L12" s="113"/>
      <c r="M12" s="113"/>
      <c r="N12" s="113"/>
      <c r="O12" s="647"/>
      <c r="P12" s="645">
        <f t="shared" si="2"/>
        <v>0</v>
      </c>
      <c r="R12"/>
      <c r="S12"/>
      <c r="T12"/>
    </row>
    <row r="13" spans="2:20" s="114" customFormat="1">
      <c r="B13" s="648" t="s">
        <v>1958</v>
      </c>
      <c r="C13" s="648" t="s">
        <v>1959</v>
      </c>
      <c r="D13" s="113"/>
      <c r="E13" s="113"/>
      <c r="F13" s="113"/>
      <c r="G13" s="113"/>
      <c r="H13" s="113"/>
      <c r="I13" s="113"/>
      <c r="J13" s="113"/>
      <c r="K13" s="645"/>
      <c r="L13" s="113"/>
      <c r="M13" s="113"/>
      <c r="N13" s="113"/>
      <c r="O13" s="647"/>
      <c r="P13" s="645">
        <f t="shared" si="2"/>
        <v>0</v>
      </c>
      <c r="R13"/>
      <c r="S13"/>
      <c r="T13"/>
    </row>
    <row r="14" spans="2:20" s="114" customFormat="1">
      <c r="B14" s="648" t="s">
        <v>1960</v>
      </c>
      <c r="C14" s="648" t="s">
        <v>1961</v>
      </c>
      <c r="D14" s="113"/>
      <c r="E14" s="113"/>
      <c r="F14" s="113"/>
      <c r="G14" s="113"/>
      <c r="H14" s="113"/>
      <c r="I14" s="113"/>
      <c r="J14" s="113"/>
      <c r="K14" s="645"/>
      <c r="L14" s="113"/>
      <c r="M14" s="113"/>
      <c r="N14" s="113">
        <v>8300</v>
      </c>
      <c r="O14" s="647"/>
      <c r="P14" s="645">
        <f t="shared" si="2"/>
        <v>8300</v>
      </c>
      <c r="R14"/>
      <c r="S14"/>
      <c r="T14"/>
    </row>
    <row r="15" spans="2:20" s="114" customFormat="1">
      <c r="B15" s="642" t="s">
        <v>1964</v>
      </c>
      <c r="C15" s="642" t="s">
        <v>1965</v>
      </c>
      <c r="D15" s="113"/>
      <c r="E15" s="113">
        <v>10000</v>
      </c>
      <c r="F15" s="645"/>
      <c r="G15" s="113"/>
      <c r="H15" s="113"/>
      <c r="I15" s="113"/>
      <c r="J15" s="113"/>
      <c r="K15" s="645"/>
      <c r="L15" s="113"/>
      <c r="M15" s="113"/>
      <c r="N15" s="113"/>
      <c r="O15" s="645"/>
      <c r="P15" s="645">
        <f t="shared" si="2"/>
        <v>10000</v>
      </c>
      <c r="R15"/>
      <c r="S15"/>
      <c r="T15"/>
    </row>
    <row r="16" spans="2:20" s="114" customFormat="1">
      <c r="B16" s="648" t="s">
        <v>1962</v>
      </c>
      <c r="C16" s="648" t="s">
        <v>1963</v>
      </c>
      <c r="D16" s="113"/>
      <c r="E16" s="113"/>
      <c r="F16" s="113">
        <v>2000</v>
      </c>
      <c r="G16" s="113"/>
      <c r="H16" s="113"/>
      <c r="I16" s="113"/>
      <c r="J16" s="113"/>
      <c r="K16" s="645"/>
      <c r="L16" s="113"/>
      <c r="M16" s="113"/>
      <c r="N16" s="113"/>
      <c r="O16" s="647"/>
      <c r="P16" s="645">
        <f t="shared" si="2"/>
        <v>2000</v>
      </c>
      <c r="R16"/>
      <c r="S16"/>
      <c r="T16"/>
    </row>
    <row r="17" spans="2:20" s="114" customFormat="1">
      <c r="B17" s="642" t="s">
        <v>1966</v>
      </c>
      <c r="C17" s="642" t="s">
        <v>1967</v>
      </c>
      <c r="D17" s="113">
        <v>10000</v>
      </c>
      <c r="E17" s="113">
        <v>20000</v>
      </c>
      <c r="F17" s="113">
        <v>15000</v>
      </c>
      <c r="G17" s="113">
        <v>6500.2</v>
      </c>
      <c r="H17" s="113"/>
      <c r="I17" s="113"/>
      <c r="J17" s="113"/>
      <c r="K17" s="645"/>
      <c r="L17" s="113"/>
      <c r="M17" s="113"/>
      <c r="N17" s="113"/>
      <c r="O17" s="645"/>
      <c r="P17" s="645">
        <f t="shared" si="2"/>
        <v>51500.2</v>
      </c>
      <c r="R17"/>
      <c r="S17"/>
      <c r="T17"/>
    </row>
    <row r="18" spans="2:20" s="114" customFormat="1">
      <c r="B18" s="642" t="s">
        <v>1968</v>
      </c>
      <c r="C18" s="642" t="s">
        <v>1969</v>
      </c>
      <c r="D18" s="113"/>
      <c r="E18" s="113">
        <f>16440</f>
        <v>16440</v>
      </c>
      <c r="F18" s="113">
        <f>9980</f>
        <v>9980</v>
      </c>
      <c r="G18" s="113"/>
      <c r="H18" s="113"/>
      <c r="I18" s="113"/>
      <c r="J18" s="113"/>
      <c r="K18" s="645"/>
      <c r="L18" s="113"/>
      <c r="M18" s="113"/>
      <c r="N18" s="113"/>
      <c r="O18" s="645"/>
      <c r="P18" s="645">
        <f t="shared" si="2"/>
        <v>26420</v>
      </c>
      <c r="R18"/>
      <c r="S18"/>
      <c r="T18"/>
    </row>
    <row r="19" spans="2:20" s="114" customFormat="1">
      <c r="B19" s="648" t="s">
        <v>1970</v>
      </c>
      <c r="C19" s="648" t="s">
        <v>1971</v>
      </c>
      <c r="D19" s="113"/>
      <c r="E19" s="113"/>
      <c r="F19" s="113"/>
      <c r="G19" s="113"/>
      <c r="H19" s="113"/>
      <c r="I19" s="113">
        <v>500</v>
      </c>
      <c r="J19" s="113"/>
      <c r="K19" s="645"/>
      <c r="L19" s="113"/>
      <c r="M19" s="113"/>
      <c r="N19" s="113"/>
      <c r="O19" s="649"/>
      <c r="P19" s="645">
        <f t="shared" si="2"/>
        <v>500</v>
      </c>
      <c r="R19"/>
      <c r="S19"/>
      <c r="T19"/>
    </row>
    <row r="20" spans="2:20" s="114" customFormat="1">
      <c r="B20" s="648" t="s">
        <v>364</v>
      </c>
      <c r="C20" s="648" t="s">
        <v>365</v>
      </c>
      <c r="D20" s="113"/>
      <c r="E20" s="113"/>
      <c r="F20" s="113"/>
      <c r="G20" s="113"/>
      <c r="H20" s="113"/>
      <c r="I20" s="113"/>
      <c r="J20" s="113"/>
      <c r="K20" s="645"/>
      <c r="L20" s="113"/>
      <c r="M20" s="113"/>
      <c r="N20" s="113"/>
      <c r="O20" s="649"/>
      <c r="P20" s="645">
        <f t="shared" si="2"/>
        <v>0</v>
      </c>
      <c r="R20"/>
      <c r="S20"/>
      <c r="T20"/>
    </row>
    <row r="21" spans="2:20" s="114" customFormat="1">
      <c r="B21" s="648" t="s">
        <v>366</v>
      </c>
      <c r="C21" s="648" t="s">
        <v>367</v>
      </c>
      <c r="D21" s="113"/>
      <c r="E21" s="113"/>
      <c r="F21" s="113"/>
      <c r="G21" s="113"/>
      <c r="H21" s="113"/>
      <c r="I21" s="113"/>
      <c r="J21" s="113"/>
      <c r="K21" s="645"/>
      <c r="L21" s="113"/>
      <c r="M21" s="113">
        <v>200</v>
      </c>
      <c r="N21" s="113"/>
      <c r="O21" s="649"/>
      <c r="P21" s="645">
        <f t="shared" si="2"/>
        <v>200</v>
      </c>
      <c r="R21"/>
      <c r="S21"/>
      <c r="T21"/>
    </row>
    <row r="22" spans="2:20" s="114" customFormat="1">
      <c r="B22" s="648" t="s">
        <v>368</v>
      </c>
      <c r="C22" s="648" t="s">
        <v>369</v>
      </c>
      <c r="D22" s="113"/>
      <c r="E22" s="113"/>
      <c r="F22" s="113"/>
      <c r="G22" s="113">
        <v>300</v>
      </c>
      <c r="H22" s="113">
        <v>300</v>
      </c>
      <c r="I22" s="113"/>
      <c r="J22" s="113"/>
      <c r="K22" s="645"/>
      <c r="L22" s="113"/>
      <c r="M22" s="113"/>
      <c r="N22" s="113"/>
      <c r="O22" s="649"/>
      <c r="P22" s="645">
        <f t="shared" si="2"/>
        <v>600</v>
      </c>
      <c r="R22"/>
      <c r="S22"/>
      <c r="T22"/>
    </row>
    <row r="23" spans="2:20" s="114" customFormat="1">
      <c r="B23" s="648" t="s">
        <v>370</v>
      </c>
      <c r="C23" s="648" t="s">
        <v>371</v>
      </c>
      <c r="D23" s="113"/>
      <c r="E23" s="113"/>
      <c r="F23" s="113"/>
      <c r="G23" s="113"/>
      <c r="H23" s="113">
        <v>700</v>
      </c>
      <c r="I23" s="113"/>
      <c r="J23" s="113"/>
      <c r="K23" s="645"/>
      <c r="L23" s="113"/>
      <c r="M23" s="113"/>
      <c r="N23" s="113"/>
      <c r="O23" s="649"/>
      <c r="P23" s="645">
        <f t="shared" si="2"/>
        <v>700</v>
      </c>
      <c r="R23"/>
      <c r="S23"/>
      <c r="T23"/>
    </row>
    <row r="24" spans="2:20" s="114" customFormat="1">
      <c r="B24" s="644" t="s">
        <v>372</v>
      </c>
      <c r="C24" s="644" t="s">
        <v>373</v>
      </c>
      <c r="D24" s="113"/>
      <c r="E24" s="113"/>
      <c r="F24" s="113">
        <v>200</v>
      </c>
      <c r="G24" s="113"/>
      <c r="H24" s="113"/>
      <c r="I24" s="113"/>
      <c r="J24" s="113"/>
      <c r="K24" s="645">
        <v>200</v>
      </c>
      <c r="L24" s="113">
        <v>400</v>
      </c>
      <c r="M24" s="113">
        <v>300</v>
      </c>
      <c r="N24" s="113"/>
      <c r="O24" s="647"/>
      <c r="P24" s="645">
        <f t="shared" si="2"/>
        <v>1100</v>
      </c>
      <c r="R24"/>
      <c r="S24"/>
      <c r="T24"/>
    </row>
    <row r="25" spans="2:20" s="114" customFormat="1">
      <c r="B25" s="648" t="s">
        <v>374</v>
      </c>
      <c r="C25" s="648" t="s">
        <v>375</v>
      </c>
      <c r="D25" s="113"/>
      <c r="E25" s="113"/>
      <c r="F25" s="113"/>
      <c r="G25" s="113"/>
      <c r="H25" s="113"/>
      <c r="I25" s="113">
        <f>550</f>
        <v>550</v>
      </c>
      <c r="J25" s="113">
        <f>550</f>
        <v>550</v>
      </c>
      <c r="K25" s="645"/>
      <c r="L25" s="113"/>
      <c r="M25" s="113"/>
      <c r="N25" s="113"/>
      <c r="O25" s="647"/>
      <c r="P25" s="645">
        <f t="shared" si="2"/>
        <v>1100</v>
      </c>
      <c r="R25"/>
      <c r="S25"/>
      <c r="T25"/>
    </row>
    <row r="26" spans="2:20" s="114" customFormat="1">
      <c r="B26" s="642" t="s">
        <v>490</v>
      </c>
      <c r="C26" s="642" t="s">
        <v>376</v>
      </c>
      <c r="D26" s="113"/>
      <c r="E26" s="113"/>
      <c r="F26" s="645"/>
      <c r="G26" s="113"/>
      <c r="H26" s="113"/>
      <c r="I26" s="113"/>
      <c r="J26" s="113"/>
      <c r="K26" s="645"/>
      <c r="L26" s="113"/>
      <c r="M26" s="113"/>
      <c r="N26" s="113"/>
      <c r="O26" s="645"/>
      <c r="P26" s="645">
        <f t="shared" si="2"/>
        <v>0</v>
      </c>
      <c r="R26"/>
      <c r="S26"/>
      <c r="T26"/>
    </row>
    <row r="27" spans="2:20" s="114" customFormat="1">
      <c r="B27" s="642" t="s">
        <v>383</v>
      </c>
      <c r="C27" s="642" t="s">
        <v>384</v>
      </c>
      <c r="D27" s="645"/>
      <c r="E27" s="113"/>
      <c r="F27" s="645"/>
      <c r="G27" s="113"/>
      <c r="H27" s="113"/>
      <c r="I27" s="113"/>
      <c r="J27" s="113"/>
      <c r="K27" s="645"/>
      <c r="L27" s="113"/>
      <c r="M27" s="113"/>
      <c r="N27" s="113"/>
      <c r="O27" s="113"/>
      <c r="P27" s="645">
        <f t="shared" si="2"/>
        <v>0</v>
      </c>
      <c r="R27"/>
      <c r="S27"/>
      <c r="T27"/>
    </row>
    <row r="28" spans="2:20" s="114" customFormat="1">
      <c r="B28" s="648" t="s">
        <v>381</v>
      </c>
      <c r="C28" s="648" t="s">
        <v>382</v>
      </c>
      <c r="D28" s="113"/>
      <c r="E28" s="113"/>
      <c r="F28" s="645"/>
      <c r="G28" s="113"/>
      <c r="H28" s="113"/>
      <c r="I28" s="113"/>
      <c r="J28" s="113"/>
      <c r="K28" s="645"/>
      <c r="L28" s="113"/>
      <c r="M28" s="113"/>
      <c r="N28" s="113"/>
      <c r="O28" s="645"/>
      <c r="P28" s="645">
        <f t="shared" si="2"/>
        <v>0</v>
      </c>
      <c r="R28"/>
      <c r="S28"/>
      <c r="T28"/>
    </row>
    <row r="29" spans="2:20" s="114" customFormat="1">
      <c r="B29" s="642" t="s">
        <v>377</v>
      </c>
      <c r="C29" s="642" t="s">
        <v>378</v>
      </c>
      <c r="D29" s="113"/>
      <c r="E29" s="113"/>
      <c r="F29" s="645"/>
      <c r="G29" s="113"/>
      <c r="H29" s="113"/>
      <c r="I29" s="113"/>
      <c r="J29" s="113"/>
      <c r="K29" s="645"/>
      <c r="L29" s="113"/>
      <c r="M29" s="113"/>
      <c r="N29" s="113"/>
      <c r="O29" s="645"/>
      <c r="P29" s="645">
        <f t="shared" si="2"/>
        <v>0</v>
      </c>
      <c r="R29"/>
      <c r="S29"/>
      <c r="T29"/>
    </row>
    <row r="30" spans="2:20" s="114" customFormat="1">
      <c r="B30" s="650" t="s">
        <v>379</v>
      </c>
      <c r="C30" s="651" t="s">
        <v>380</v>
      </c>
      <c r="D30" s="113"/>
      <c r="E30" s="113"/>
      <c r="F30" s="645"/>
      <c r="G30" s="113"/>
      <c r="H30" s="113"/>
      <c r="I30" s="113"/>
      <c r="J30" s="113"/>
      <c r="K30" s="645"/>
      <c r="L30" s="113">
        <v>300</v>
      </c>
      <c r="M30" s="113"/>
      <c r="N30" s="113"/>
      <c r="O30" s="645"/>
      <c r="P30" s="645">
        <f t="shared" si="2"/>
        <v>300</v>
      </c>
      <c r="R30"/>
      <c r="S30"/>
      <c r="T30"/>
    </row>
    <row r="31" spans="2:20" s="114" customFormat="1">
      <c r="B31" s="644" t="s">
        <v>385</v>
      </c>
      <c r="C31" s="644" t="s">
        <v>386</v>
      </c>
      <c r="D31" s="113"/>
      <c r="E31" s="113"/>
      <c r="F31" s="113"/>
      <c r="G31" s="113"/>
      <c r="H31" s="113"/>
      <c r="I31" s="113"/>
      <c r="J31" s="113"/>
      <c r="K31" s="645"/>
      <c r="L31" s="113"/>
      <c r="M31" s="113"/>
      <c r="N31" s="113"/>
      <c r="O31" s="647"/>
      <c r="P31" s="645">
        <f t="shared" si="2"/>
        <v>0</v>
      </c>
      <c r="R31"/>
      <c r="S31"/>
      <c r="T31"/>
    </row>
    <row r="32" spans="2:20" s="114" customFormat="1">
      <c r="B32" s="644" t="s">
        <v>387</v>
      </c>
      <c r="C32" s="644" t="s">
        <v>388</v>
      </c>
      <c r="D32" s="113"/>
      <c r="E32" s="113"/>
      <c r="F32" s="113"/>
      <c r="G32" s="113"/>
      <c r="H32" s="113"/>
      <c r="I32" s="113"/>
      <c r="J32" s="113"/>
      <c r="K32" s="645"/>
      <c r="L32" s="113"/>
      <c r="M32" s="113">
        <v>500</v>
      </c>
      <c r="N32" s="113"/>
      <c r="O32" s="647"/>
      <c r="P32" s="645">
        <f t="shared" si="2"/>
        <v>500</v>
      </c>
      <c r="R32"/>
      <c r="S32"/>
      <c r="T32"/>
    </row>
    <row r="33" spans="2:20" s="114" customFormat="1">
      <c r="B33" s="648" t="s">
        <v>403</v>
      </c>
      <c r="C33" s="648" t="s">
        <v>404</v>
      </c>
      <c r="D33" s="113"/>
      <c r="E33" s="113"/>
      <c r="F33" s="113"/>
      <c r="G33" s="113"/>
      <c r="H33" s="113"/>
      <c r="I33" s="113"/>
      <c r="J33" s="113"/>
      <c r="K33" s="645"/>
      <c r="L33" s="113">
        <v>200</v>
      </c>
      <c r="M33" s="113"/>
      <c r="N33" s="113"/>
      <c r="O33" s="647"/>
      <c r="P33" s="645">
        <f t="shared" si="2"/>
        <v>200</v>
      </c>
      <c r="R33"/>
      <c r="S33"/>
      <c r="T33"/>
    </row>
    <row r="34" spans="2:20" s="114" customFormat="1">
      <c r="B34" s="650" t="s">
        <v>389</v>
      </c>
      <c r="C34" s="651" t="s">
        <v>390</v>
      </c>
      <c r="D34" s="113"/>
      <c r="E34" s="113"/>
      <c r="F34" s="113"/>
      <c r="G34" s="113"/>
      <c r="H34" s="113"/>
      <c r="I34" s="113"/>
      <c r="J34" s="113"/>
      <c r="K34" s="645"/>
      <c r="L34" s="113">
        <v>1500</v>
      </c>
      <c r="M34" s="113"/>
      <c r="N34" s="113"/>
      <c r="O34" s="647"/>
      <c r="P34" s="645">
        <f t="shared" si="2"/>
        <v>1500</v>
      </c>
      <c r="R34"/>
      <c r="S34"/>
      <c r="T34"/>
    </row>
    <row r="35" spans="2:20" s="114" customFormat="1">
      <c r="B35" s="648" t="s">
        <v>393</v>
      </c>
      <c r="C35" s="648" t="s">
        <v>394</v>
      </c>
      <c r="D35" s="113"/>
      <c r="E35" s="113"/>
      <c r="F35" s="113">
        <v>3300</v>
      </c>
      <c r="G35" s="113"/>
      <c r="H35" s="113"/>
      <c r="I35" s="113"/>
      <c r="J35" s="113"/>
      <c r="K35" s="645"/>
      <c r="L35" s="113">
        <v>1000</v>
      </c>
      <c r="M35" s="113"/>
      <c r="N35" s="113"/>
      <c r="O35" s="649"/>
      <c r="P35" s="645">
        <f t="shared" si="2"/>
        <v>4300</v>
      </c>
      <c r="R35"/>
      <c r="S35"/>
      <c r="T35"/>
    </row>
    <row r="36" spans="2:20" s="114" customFormat="1">
      <c r="B36" s="650" t="s">
        <v>391</v>
      </c>
      <c r="C36" s="651" t="s">
        <v>392</v>
      </c>
      <c r="D36" s="113"/>
      <c r="E36" s="113"/>
      <c r="F36" s="113"/>
      <c r="G36" s="113"/>
      <c r="H36" s="113"/>
      <c r="I36" s="113"/>
      <c r="J36" s="113"/>
      <c r="K36" s="645"/>
      <c r="L36" s="113">
        <f>760</f>
        <v>760</v>
      </c>
      <c r="M36" s="113"/>
      <c r="N36" s="113"/>
      <c r="O36" s="647"/>
      <c r="P36" s="645">
        <f t="shared" si="2"/>
        <v>760</v>
      </c>
      <c r="R36"/>
      <c r="S36"/>
      <c r="T36"/>
    </row>
    <row r="37" spans="2:20" s="114" customFormat="1">
      <c r="B37" s="648" t="s">
        <v>395</v>
      </c>
      <c r="C37" s="648" t="s">
        <v>396</v>
      </c>
      <c r="D37" s="113"/>
      <c r="E37" s="113">
        <v>2000</v>
      </c>
      <c r="F37" s="113">
        <v>800</v>
      </c>
      <c r="G37" s="113"/>
      <c r="H37" s="113"/>
      <c r="I37" s="113"/>
      <c r="J37" s="113">
        <v>600</v>
      </c>
      <c r="K37" s="645"/>
      <c r="L37" s="113">
        <v>500</v>
      </c>
      <c r="M37" s="113"/>
      <c r="N37" s="113"/>
      <c r="O37" s="649"/>
      <c r="P37" s="645">
        <f t="shared" si="2"/>
        <v>3900</v>
      </c>
      <c r="R37"/>
      <c r="S37"/>
      <c r="T37"/>
    </row>
    <row r="38" spans="2:20" s="114" customFormat="1">
      <c r="B38" s="644" t="s">
        <v>397</v>
      </c>
      <c r="C38" s="644" t="s">
        <v>398</v>
      </c>
      <c r="D38" s="113"/>
      <c r="E38" s="113"/>
      <c r="F38" s="113"/>
      <c r="G38" s="113"/>
      <c r="H38" s="113">
        <f>347</f>
        <v>347</v>
      </c>
      <c r="I38" s="113"/>
      <c r="J38" s="113"/>
      <c r="K38" s="645"/>
      <c r="L38" s="113">
        <v>500</v>
      </c>
      <c r="M38" s="113">
        <f>400</f>
        <v>400</v>
      </c>
      <c r="N38" s="113"/>
      <c r="O38" s="647"/>
      <c r="P38" s="645">
        <f t="shared" si="2"/>
        <v>1247</v>
      </c>
      <c r="R38"/>
      <c r="S38"/>
      <c r="T38"/>
    </row>
    <row r="39" spans="2:20" s="114" customFormat="1">
      <c r="B39" s="648" t="s">
        <v>401</v>
      </c>
      <c r="C39" s="648" t="s">
        <v>402</v>
      </c>
      <c r="D39" s="113"/>
      <c r="E39" s="113"/>
      <c r="F39" s="113"/>
      <c r="G39" s="113"/>
      <c r="H39" s="113"/>
      <c r="I39" s="113"/>
      <c r="J39" s="113"/>
      <c r="K39" s="645"/>
      <c r="L39" s="113"/>
      <c r="M39" s="113"/>
      <c r="N39" s="113"/>
      <c r="O39" s="647"/>
      <c r="P39" s="645">
        <f t="shared" si="2"/>
        <v>0</v>
      </c>
      <c r="R39"/>
      <c r="S39"/>
      <c r="T39"/>
    </row>
    <row r="40" spans="2:20" s="114" customFormat="1">
      <c r="B40" s="648" t="s">
        <v>399</v>
      </c>
      <c r="C40" s="648" t="s">
        <v>400</v>
      </c>
      <c r="D40" s="113"/>
      <c r="E40" s="113"/>
      <c r="F40" s="113"/>
      <c r="G40" s="113"/>
      <c r="H40" s="113"/>
      <c r="I40" s="113"/>
      <c r="J40" s="113"/>
      <c r="K40" s="645"/>
      <c r="L40" s="113"/>
      <c r="M40" s="113"/>
      <c r="N40" s="113"/>
      <c r="O40" s="647"/>
      <c r="P40" s="645">
        <f t="shared" si="2"/>
        <v>0</v>
      </c>
      <c r="R40"/>
      <c r="S40"/>
      <c r="T40"/>
    </row>
    <row r="41" spans="2:20" s="114" customFormat="1">
      <c r="B41" s="648" t="s">
        <v>405</v>
      </c>
      <c r="C41" s="648" t="s">
        <v>406</v>
      </c>
      <c r="D41" s="113"/>
      <c r="E41" s="113"/>
      <c r="F41" s="113"/>
      <c r="G41" s="113"/>
      <c r="H41" s="113"/>
      <c r="I41" s="113"/>
      <c r="J41" s="113"/>
      <c r="K41" s="645"/>
      <c r="L41" s="113"/>
      <c r="M41" s="113"/>
      <c r="N41" s="113"/>
      <c r="O41" s="647"/>
      <c r="P41" s="645">
        <f t="shared" si="2"/>
        <v>0</v>
      </c>
      <c r="R41"/>
      <c r="S41"/>
      <c r="T41"/>
    </row>
    <row r="42" spans="2:20" s="114" customFormat="1">
      <c r="B42" s="648" t="s">
        <v>407</v>
      </c>
      <c r="C42" s="648" t="s">
        <v>408</v>
      </c>
      <c r="D42" s="113"/>
      <c r="E42" s="113"/>
      <c r="F42" s="113"/>
      <c r="G42" s="113"/>
      <c r="H42" s="113"/>
      <c r="I42" s="113"/>
      <c r="J42" s="113"/>
      <c r="K42" s="645"/>
      <c r="L42" s="113"/>
      <c r="M42" s="113"/>
      <c r="N42" s="113">
        <f>8180-8180</f>
        <v>0</v>
      </c>
      <c r="O42" s="647"/>
      <c r="P42" s="645">
        <f t="shared" si="2"/>
        <v>0</v>
      </c>
      <c r="R42"/>
      <c r="S42"/>
      <c r="T42"/>
    </row>
    <row r="43" spans="2:20" s="114" customFormat="1">
      <c r="B43" s="642" t="s">
        <v>411</v>
      </c>
      <c r="C43" s="642" t="s">
        <v>412</v>
      </c>
      <c r="D43" s="113"/>
      <c r="E43" s="113"/>
      <c r="F43" s="113"/>
      <c r="G43" s="113"/>
      <c r="H43" s="113"/>
      <c r="I43" s="113"/>
      <c r="J43" s="113"/>
      <c r="K43" s="645"/>
      <c r="L43" s="113"/>
      <c r="M43" s="113"/>
      <c r="N43" s="113"/>
      <c r="O43" s="647"/>
      <c r="P43" s="645">
        <f t="shared" si="2"/>
        <v>0</v>
      </c>
      <c r="R43"/>
      <c r="S43"/>
      <c r="T43"/>
    </row>
    <row r="44" spans="2:20" s="114" customFormat="1">
      <c r="B44" s="648" t="s">
        <v>409</v>
      </c>
      <c r="C44" s="648" t="s">
        <v>410</v>
      </c>
      <c r="D44" s="113"/>
      <c r="E44" s="113"/>
      <c r="F44" s="113"/>
      <c r="G44" s="113"/>
      <c r="H44" s="113"/>
      <c r="I44" s="113">
        <f>120</f>
        <v>120</v>
      </c>
      <c r="J44" s="113"/>
      <c r="K44" s="645"/>
      <c r="L44" s="113"/>
      <c r="M44" s="113"/>
      <c r="N44" s="113"/>
      <c r="O44" s="647"/>
      <c r="P44" s="645">
        <f t="shared" si="2"/>
        <v>120</v>
      </c>
      <c r="R44"/>
      <c r="S44"/>
      <c r="T44"/>
    </row>
    <row r="45" spans="2:20" s="114" customFormat="1">
      <c r="B45" s="646" t="s">
        <v>413</v>
      </c>
      <c r="C45" s="648" t="s">
        <v>414</v>
      </c>
      <c r="D45" s="113"/>
      <c r="E45" s="113"/>
      <c r="F45" s="113"/>
      <c r="G45" s="113"/>
      <c r="H45" s="113"/>
      <c r="I45" s="113"/>
      <c r="J45" s="113">
        <f>2800</f>
        <v>2800</v>
      </c>
      <c r="K45" s="645">
        <f>4450</f>
        <v>4450</v>
      </c>
      <c r="L45" s="113"/>
      <c r="M45" s="113"/>
      <c r="N45" s="113"/>
      <c r="O45" s="647"/>
      <c r="P45" s="645">
        <f t="shared" si="2"/>
        <v>7250</v>
      </c>
      <c r="R45"/>
      <c r="S45"/>
      <c r="T45"/>
    </row>
    <row r="46" spans="2:20" s="114" customFormat="1">
      <c r="B46" s="646" t="s">
        <v>415</v>
      </c>
      <c r="C46" s="646" t="s">
        <v>416</v>
      </c>
      <c r="D46" s="113"/>
      <c r="E46" s="113"/>
      <c r="F46" s="113"/>
      <c r="G46" s="113"/>
      <c r="H46" s="113"/>
      <c r="I46" s="113"/>
      <c r="J46" s="113"/>
      <c r="K46" s="645"/>
      <c r="L46" s="113"/>
      <c r="M46" s="113"/>
      <c r="N46" s="113"/>
      <c r="O46" s="647"/>
      <c r="P46" s="645">
        <f t="shared" si="2"/>
        <v>0</v>
      </c>
      <c r="R46"/>
      <c r="S46"/>
      <c r="T46"/>
    </row>
    <row r="47" spans="2:20" s="114" customFormat="1">
      <c r="B47" s="115" t="s">
        <v>417</v>
      </c>
      <c r="C47" s="642" t="s">
        <v>418</v>
      </c>
      <c r="D47" s="113"/>
      <c r="E47" s="113"/>
      <c r="F47" s="113"/>
      <c r="G47" s="113"/>
      <c r="H47" s="113"/>
      <c r="I47" s="113"/>
      <c r="J47" s="113"/>
      <c r="K47" s="645"/>
      <c r="L47" s="113"/>
      <c r="M47" s="113"/>
      <c r="N47" s="113"/>
      <c r="O47" s="647"/>
      <c r="P47" s="645">
        <f t="shared" si="2"/>
        <v>0</v>
      </c>
      <c r="R47"/>
      <c r="S47"/>
      <c r="T47"/>
    </row>
    <row r="48" spans="2:20" s="114" customFormat="1">
      <c r="B48" s="115" t="s">
        <v>419</v>
      </c>
      <c r="C48" s="642" t="s">
        <v>420</v>
      </c>
      <c r="D48" s="113"/>
      <c r="E48" s="113"/>
      <c r="F48" s="113"/>
      <c r="G48" s="113"/>
      <c r="H48" s="113"/>
      <c r="I48" s="113"/>
      <c r="J48" s="113"/>
      <c r="K48" s="645"/>
      <c r="L48" s="113"/>
      <c r="M48" s="113"/>
      <c r="N48" s="113"/>
      <c r="O48" s="647"/>
      <c r="P48" s="645">
        <f t="shared" si="2"/>
        <v>0</v>
      </c>
      <c r="R48"/>
      <c r="S48"/>
      <c r="T48"/>
    </row>
    <row r="49" spans="2:16" s="114" customFormat="1" ht="39">
      <c r="B49" s="652" t="s">
        <v>423</v>
      </c>
      <c r="C49" s="644" t="s">
        <v>424</v>
      </c>
      <c r="D49" s="113"/>
      <c r="E49" s="113"/>
      <c r="F49" s="113">
        <v>800</v>
      </c>
      <c r="G49" s="113"/>
      <c r="H49" s="113">
        <v>500</v>
      </c>
      <c r="I49" s="113">
        <f>380+750+20+80</f>
        <v>1230</v>
      </c>
      <c r="J49" s="113">
        <v>3000</v>
      </c>
      <c r="K49" s="645"/>
      <c r="L49" s="113"/>
      <c r="M49" s="113">
        <v>600</v>
      </c>
      <c r="N49" s="113"/>
      <c r="O49" s="647"/>
      <c r="P49" s="645">
        <f t="shared" si="2"/>
        <v>6130</v>
      </c>
    </row>
    <row r="50" spans="2:16" s="114" customFormat="1">
      <c r="B50" s="650" t="s">
        <v>421</v>
      </c>
      <c r="C50" s="651" t="s">
        <v>422</v>
      </c>
      <c r="D50" s="113"/>
      <c r="E50" s="113"/>
      <c r="F50" s="113"/>
      <c r="G50" s="113"/>
      <c r="H50" s="113"/>
      <c r="I50" s="113"/>
      <c r="J50" s="113"/>
      <c r="K50" s="645"/>
      <c r="L50" s="113">
        <v>300</v>
      </c>
      <c r="M50" s="113"/>
      <c r="N50" s="113"/>
      <c r="O50" s="647"/>
      <c r="P50" s="645">
        <f t="shared" si="2"/>
        <v>300</v>
      </c>
    </row>
    <row r="51" spans="2:16" s="114" customFormat="1">
      <c r="B51" s="650" t="s">
        <v>483</v>
      </c>
      <c r="C51" s="651" t="s">
        <v>425</v>
      </c>
      <c r="D51" s="113"/>
      <c r="E51" s="113"/>
      <c r="F51" s="113"/>
      <c r="G51" s="113"/>
      <c r="H51" s="113"/>
      <c r="I51" s="113"/>
      <c r="J51" s="113"/>
      <c r="K51" s="645"/>
      <c r="L51" s="113"/>
      <c r="M51" s="113"/>
      <c r="N51" s="113"/>
      <c r="O51" s="647"/>
      <c r="P51" s="645">
        <f t="shared" si="2"/>
        <v>0</v>
      </c>
    </row>
    <row r="52" spans="2:16" s="114" customFormat="1">
      <c r="B52" s="644" t="s">
        <v>426</v>
      </c>
      <c r="C52" s="642" t="s">
        <v>427</v>
      </c>
      <c r="D52" s="113"/>
      <c r="E52" s="113"/>
      <c r="F52" s="113"/>
      <c r="G52" s="113"/>
      <c r="H52" s="113"/>
      <c r="I52" s="113"/>
      <c r="J52" s="113"/>
      <c r="K52" s="645"/>
      <c r="L52" s="113"/>
      <c r="M52" s="113"/>
      <c r="N52" s="113"/>
      <c r="O52" s="645"/>
      <c r="P52" s="645">
        <f t="shared" si="2"/>
        <v>0</v>
      </c>
    </row>
    <row r="53" spans="2:16" s="114" customFormat="1">
      <c r="B53" s="651" t="s">
        <v>428</v>
      </c>
      <c r="C53" s="648" t="s">
        <v>429</v>
      </c>
      <c r="D53" s="113"/>
      <c r="E53" s="113"/>
      <c r="F53" s="113"/>
      <c r="G53" s="113"/>
      <c r="H53" s="113"/>
      <c r="I53" s="113"/>
      <c r="J53" s="113"/>
      <c r="K53" s="645"/>
      <c r="L53" s="113"/>
      <c r="M53" s="113"/>
      <c r="N53" s="113"/>
      <c r="O53" s="649"/>
      <c r="P53" s="645">
        <f t="shared" si="2"/>
        <v>0</v>
      </c>
    </row>
    <row r="54" spans="2:16" s="114" customFormat="1">
      <c r="B54" s="648" t="s">
        <v>430</v>
      </c>
      <c r="C54" s="648" t="s">
        <v>431</v>
      </c>
      <c r="D54" s="113"/>
      <c r="E54" s="113"/>
      <c r="F54" s="113"/>
      <c r="G54" s="113"/>
      <c r="H54" s="113"/>
      <c r="I54" s="113"/>
      <c r="J54" s="113"/>
      <c r="K54" s="645"/>
      <c r="L54" s="113"/>
      <c r="M54" s="113"/>
      <c r="N54" s="113"/>
      <c r="O54" s="649"/>
      <c r="P54" s="645">
        <f t="shared" si="2"/>
        <v>0</v>
      </c>
    </row>
    <row r="55" spans="2:16" s="114" customFormat="1">
      <c r="B55" s="115" t="s">
        <v>432</v>
      </c>
      <c r="C55" s="642" t="s">
        <v>433</v>
      </c>
      <c r="D55" s="113"/>
      <c r="E55" s="113"/>
      <c r="F55" s="113"/>
      <c r="G55" s="113"/>
      <c r="H55" s="113">
        <v>500</v>
      </c>
      <c r="I55" s="113"/>
      <c r="J55" s="113"/>
      <c r="K55" s="645"/>
      <c r="L55" s="113"/>
      <c r="M55" s="113"/>
      <c r="N55" s="113"/>
      <c r="O55" s="645"/>
      <c r="P55" s="645">
        <f t="shared" si="2"/>
        <v>500</v>
      </c>
    </row>
    <row r="56" spans="2:16" s="114" customFormat="1">
      <c r="B56" s="651" t="s">
        <v>434</v>
      </c>
      <c r="C56" s="642" t="s">
        <v>435</v>
      </c>
      <c r="D56" s="113"/>
      <c r="E56" s="113"/>
      <c r="F56" s="113">
        <v>800</v>
      </c>
      <c r="G56" s="113"/>
      <c r="H56" s="113">
        <v>500</v>
      </c>
      <c r="I56" s="113">
        <v>1600</v>
      </c>
      <c r="J56" s="113"/>
      <c r="K56" s="645"/>
      <c r="L56" s="113"/>
      <c r="M56" s="113">
        <v>2800</v>
      </c>
      <c r="N56" s="113"/>
      <c r="O56" s="645"/>
      <c r="P56" s="645">
        <f t="shared" si="2"/>
        <v>5700</v>
      </c>
    </row>
    <row r="57" spans="2:16" s="114" customFormat="1">
      <c r="B57" s="648" t="s">
        <v>437</v>
      </c>
      <c r="C57" s="648" t="s">
        <v>438</v>
      </c>
      <c r="D57" s="113"/>
      <c r="E57" s="113"/>
      <c r="F57" s="113"/>
      <c r="G57" s="113"/>
      <c r="H57" s="113"/>
      <c r="I57" s="113"/>
      <c r="J57" s="113"/>
      <c r="K57" s="645"/>
      <c r="L57" s="113"/>
      <c r="M57" s="113"/>
      <c r="N57" s="113"/>
      <c r="O57" s="649"/>
      <c r="P57" s="645">
        <f t="shared" si="2"/>
        <v>0</v>
      </c>
    </row>
    <row r="58" spans="2:16" s="114" customFormat="1">
      <c r="B58" s="648" t="s">
        <v>439</v>
      </c>
      <c r="C58" s="648" t="s">
        <v>440</v>
      </c>
      <c r="D58" s="113"/>
      <c r="E58" s="113"/>
      <c r="F58" s="113"/>
      <c r="G58" s="113"/>
      <c r="H58" s="113"/>
      <c r="I58" s="113"/>
      <c r="J58" s="113"/>
      <c r="K58" s="645"/>
      <c r="L58" s="113"/>
      <c r="M58" s="113"/>
      <c r="N58" s="113"/>
      <c r="O58" s="649"/>
      <c r="P58" s="645">
        <f t="shared" si="2"/>
        <v>0</v>
      </c>
    </row>
    <row r="59" spans="2:16" s="114" customFormat="1" ht="39">
      <c r="B59" s="651" t="s">
        <v>441</v>
      </c>
      <c r="C59" s="648" t="s">
        <v>442</v>
      </c>
      <c r="D59" s="113"/>
      <c r="E59" s="113"/>
      <c r="F59" s="113"/>
      <c r="G59" s="113"/>
      <c r="H59" s="113"/>
      <c r="I59" s="113"/>
      <c r="J59" s="113"/>
      <c r="K59" s="645"/>
      <c r="L59" s="113"/>
      <c r="M59" s="113"/>
      <c r="N59" s="113"/>
      <c r="O59" s="649"/>
      <c r="P59" s="645">
        <f t="shared" si="2"/>
        <v>0</v>
      </c>
    </row>
    <row r="60" spans="2:16" s="114" customFormat="1">
      <c r="B60" s="648" t="s">
        <v>484</v>
      </c>
      <c r="C60" s="648" t="s">
        <v>436</v>
      </c>
      <c r="D60" s="113"/>
      <c r="E60" s="113"/>
      <c r="F60" s="113"/>
      <c r="G60" s="113"/>
      <c r="H60" s="113"/>
      <c r="I60" s="113"/>
      <c r="J60" s="113"/>
      <c r="K60" s="645"/>
      <c r="L60" s="113"/>
      <c r="M60" s="113"/>
      <c r="N60" s="113"/>
      <c r="O60" s="645"/>
      <c r="P60" s="645">
        <f t="shared" si="2"/>
        <v>0</v>
      </c>
    </row>
    <row r="61" spans="2:16" s="114" customFormat="1">
      <c r="B61" s="648" t="s">
        <v>443</v>
      </c>
      <c r="C61" s="648" t="s">
        <v>444</v>
      </c>
      <c r="D61" s="113"/>
      <c r="E61" s="113"/>
      <c r="F61" s="113"/>
      <c r="G61" s="113"/>
      <c r="H61" s="113"/>
      <c r="I61" s="113"/>
      <c r="J61" s="113"/>
      <c r="K61" s="645"/>
      <c r="L61" s="113"/>
      <c r="M61" s="113"/>
      <c r="N61" s="113"/>
      <c r="O61" s="649"/>
      <c r="P61" s="645">
        <f t="shared" si="2"/>
        <v>0</v>
      </c>
    </row>
    <row r="62" spans="2:16" s="114" customFormat="1">
      <c r="B62" s="648" t="s">
        <v>445</v>
      </c>
      <c r="C62" s="648" t="s">
        <v>446</v>
      </c>
      <c r="D62" s="113"/>
      <c r="E62" s="113">
        <f>5040+850</f>
        <v>5890</v>
      </c>
      <c r="F62" s="113">
        <f>698</f>
        <v>698</v>
      </c>
      <c r="G62" s="113"/>
      <c r="H62" s="113"/>
      <c r="I62" s="113"/>
      <c r="J62" s="113"/>
      <c r="K62" s="645"/>
      <c r="L62" s="113"/>
      <c r="M62" s="113"/>
      <c r="N62" s="113"/>
      <c r="O62" s="649"/>
      <c r="P62" s="645">
        <f t="shared" si="2"/>
        <v>6588</v>
      </c>
    </row>
    <row r="63" spans="2:16" s="114" customFormat="1">
      <c r="B63" s="648" t="s">
        <v>447</v>
      </c>
      <c r="C63" s="648" t="s">
        <v>448</v>
      </c>
      <c r="D63" s="113"/>
      <c r="E63" s="113">
        <v>2000</v>
      </c>
      <c r="F63" s="113">
        <v>500</v>
      </c>
      <c r="G63" s="113">
        <v>500</v>
      </c>
      <c r="H63" s="113"/>
      <c r="I63" s="113"/>
      <c r="J63" s="113">
        <v>500</v>
      </c>
      <c r="K63" s="645">
        <v>800</v>
      </c>
      <c r="L63" s="113">
        <v>400</v>
      </c>
      <c r="M63" s="113"/>
      <c r="N63" s="113"/>
      <c r="O63" s="645"/>
      <c r="P63" s="645">
        <f t="shared" si="2"/>
        <v>4700</v>
      </c>
    </row>
    <row r="64" spans="2:16" s="114" customFormat="1">
      <c r="B64" s="653" t="s">
        <v>449</v>
      </c>
      <c r="C64" s="648" t="s">
        <v>450</v>
      </c>
      <c r="D64" s="113"/>
      <c r="E64" s="113"/>
      <c r="F64" s="113"/>
      <c r="G64" s="113"/>
      <c r="H64" s="113"/>
      <c r="I64" s="113"/>
      <c r="J64" s="113"/>
      <c r="K64" s="645"/>
      <c r="L64" s="113">
        <v>2500</v>
      </c>
      <c r="M64" s="113">
        <v>500</v>
      </c>
      <c r="N64" s="113"/>
      <c r="O64" s="645"/>
      <c r="P64" s="645">
        <f t="shared" si="2"/>
        <v>3000</v>
      </c>
    </row>
    <row r="65" spans="2:20" s="114" customFormat="1">
      <c r="B65" s="648" t="s">
        <v>451</v>
      </c>
      <c r="C65" s="648" t="s">
        <v>452</v>
      </c>
      <c r="D65" s="113"/>
      <c r="E65" s="113"/>
      <c r="F65" s="113"/>
      <c r="G65" s="113"/>
      <c r="H65" s="113"/>
      <c r="I65" s="113"/>
      <c r="J65" s="113"/>
      <c r="K65" s="645"/>
      <c r="L65" s="113">
        <v>100</v>
      </c>
      <c r="M65" s="113">
        <v>100</v>
      </c>
      <c r="N65" s="113"/>
      <c r="O65" s="649"/>
      <c r="P65" s="645">
        <f t="shared" si="2"/>
        <v>200</v>
      </c>
    </row>
    <row r="66" spans="2:20" s="114" customFormat="1">
      <c r="B66" s="648" t="s">
        <v>453</v>
      </c>
      <c r="C66" s="648" t="s">
        <v>454</v>
      </c>
      <c r="D66" s="113"/>
      <c r="E66" s="113"/>
      <c r="F66" s="113">
        <v>500</v>
      </c>
      <c r="G66" s="113"/>
      <c r="H66" s="113"/>
      <c r="I66" s="113"/>
      <c r="J66" s="113"/>
      <c r="K66" s="645">
        <v>1000</v>
      </c>
      <c r="L66" s="113"/>
      <c r="M66" s="113"/>
      <c r="N66" s="113"/>
      <c r="O66" s="645"/>
      <c r="P66" s="645">
        <f t="shared" si="2"/>
        <v>1500</v>
      </c>
    </row>
    <row r="67" spans="2:20" s="114" customFormat="1">
      <c r="B67" s="651" t="s">
        <v>455</v>
      </c>
      <c r="C67" s="651" t="s">
        <v>456</v>
      </c>
      <c r="D67" s="113"/>
      <c r="E67" s="113"/>
      <c r="F67" s="113"/>
      <c r="G67" s="113"/>
      <c r="H67" s="113"/>
      <c r="I67" s="113"/>
      <c r="J67" s="113"/>
      <c r="K67" s="645"/>
      <c r="L67" s="113"/>
      <c r="M67" s="113"/>
      <c r="N67" s="113"/>
      <c r="O67" s="645"/>
      <c r="P67" s="645">
        <f t="shared" si="2"/>
        <v>0</v>
      </c>
    </row>
    <row r="68" spans="2:20" s="114" customFormat="1">
      <c r="B68" s="651" t="s">
        <v>457</v>
      </c>
      <c r="C68" s="651" t="s">
        <v>458</v>
      </c>
      <c r="D68" s="113"/>
      <c r="E68" s="113"/>
      <c r="F68" s="113"/>
      <c r="G68" s="113"/>
      <c r="H68" s="113"/>
      <c r="I68" s="113"/>
      <c r="J68" s="113"/>
      <c r="K68" s="645"/>
      <c r="L68" s="113"/>
      <c r="M68" s="113"/>
      <c r="N68" s="113"/>
      <c r="O68" s="645"/>
      <c r="P68" s="645">
        <f t="shared" si="2"/>
        <v>0</v>
      </c>
    </row>
    <row r="69" spans="2:20" s="114" customFormat="1">
      <c r="B69" s="646" t="s">
        <v>459</v>
      </c>
      <c r="C69" s="646" t="s">
        <v>460</v>
      </c>
      <c r="D69" s="113"/>
      <c r="E69" s="113"/>
      <c r="F69" s="113"/>
      <c r="G69" s="113"/>
      <c r="H69" s="113"/>
      <c r="I69" s="113"/>
      <c r="J69" s="113"/>
      <c r="K69" s="645"/>
      <c r="L69" s="113"/>
      <c r="M69" s="113">
        <f>40+160</f>
        <v>200</v>
      </c>
      <c r="N69" s="113"/>
      <c r="O69" s="645"/>
      <c r="P69" s="645">
        <f>SUM(D69:O69)</f>
        <v>200</v>
      </c>
    </row>
    <row r="70" spans="2:20" s="114" customFormat="1">
      <c r="B70" s="648" t="s">
        <v>461</v>
      </c>
      <c r="C70" s="648" t="s">
        <v>462</v>
      </c>
      <c r="D70" s="113"/>
      <c r="E70" s="113">
        <v>1140</v>
      </c>
      <c r="F70" s="113">
        <f>4200</f>
        <v>4200</v>
      </c>
      <c r="G70" s="113"/>
      <c r="H70" s="113">
        <v>800</v>
      </c>
      <c r="I70" s="113">
        <v>300</v>
      </c>
      <c r="J70" s="113">
        <f>330+56+1250</f>
        <v>1636</v>
      </c>
      <c r="K70" s="645"/>
      <c r="L70" s="113"/>
      <c r="M70" s="113"/>
      <c r="N70" s="113"/>
      <c r="O70" s="645"/>
      <c r="P70" s="645">
        <f t="shared" si="2"/>
        <v>8076</v>
      </c>
    </row>
    <row r="71" spans="2:20" s="114" customFormat="1">
      <c r="B71" s="644" t="s">
        <v>463</v>
      </c>
      <c r="C71" s="644" t="s">
        <v>464</v>
      </c>
      <c r="D71" s="113"/>
      <c r="E71" s="113"/>
      <c r="F71" s="113">
        <f>345</f>
        <v>345</v>
      </c>
      <c r="G71" s="113">
        <v>680</v>
      </c>
      <c r="H71" s="113">
        <f>30+96+85+150+320+161</f>
        <v>842</v>
      </c>
      <c r="I71" s="113">
        <f>543</f>
        <v>543</v>
      </c>
      <c r="J71" s="113"/>
      <c r="K71" s="645"/>
      <c r="L71" s="113">
        <f>34+483</f>
        <v>517</v>
      </c>
      <c r="M71" s="113">
        <f>635</f>
        <v>635</v>
      </c>
      <c r="N71" s="113"/>
      <c r="O71" s="647"/>
      <c r="P71" s="645">
        <f t="shared" si="2"/>
        <v>3562</v>
      </c>
    </row>
    <row r="72" spans="2:20" s="114" customFormat="1">
      <c r="B72" s="644" t="s">
        <v>465</v>
      </c>
      <c r="C72" s="644" t="s">
        <v>466</v>
      </c>
      <c r="D72" s="113"/>
      <c r="E72" s="113"/>
      <c r="F72" s="113">
        <v>300</v>
      </c>
      <c r="G72" s="113">
        <v>200</v>
      </c>
      <c r="H72" s="113"/>
      <c r="I72" s="113">
        <v>300</v>
      </c>
      <c r="J72" s="113">
        <f>800+400</f>
        <v>1200</v>
      </c>
      <c r="K72" s="645">
        <v>2000</v>
      </c>
      <c r="L72" s="113">
        <v>500</v>
      </c>
      <c r="M72" s="113">
        <v>700</v>
      </c>
      <c r="N72" s="113"/>
      <c r="O72" s="647"/>
      <c r="P72" s="645">
        <f t="shared" si="2"/>
        <v>5200</v>
      </c>
    </row>
    <row r="73" spans="2:20" s="114" customFormat="1">
      <c r="B73" s="644" t="s">
        <v>467</v>
      </c>
      <c r="C73" s="644" t="s">
        <v>468</v>
      </c>
      <c r="D73" s="113"/>
      <c r="E73" s="113">
        <v>300</v>
      </c>
      <c r="F73" s="113">
        <v>300</v>
      </c>
      <c r="G73" s="113">
        <v>280</v>
      </c>
      <c r="H73" s="113">
        <v>200</v>
      </c>
      <c r="I73" s="113">
        <v>200</v>
      </c>
      <c r="J73" s="113">
        <v>200</v>
      </c>
      <c r="K73" s="645">
        <v>200</v>
      </c>
      <c r="L73" s="113">
        <v>300</v>
      </c>
      <c r="M73" s="113">
        <v>300</v>
      </c>
      <c r="N73" s="113"/>
      <c r="O73" s="647"/>
      <c r="P73" s="645">
        <f t="shared" si="2"/>
        <v>2280</v>
      </c>
    </row>
    <row r="74" spans="2:20" s="592" customFormat="1">
      <c r="B74" s="781" t="s">
        <v>1233</v>
      </c>
      <c r="C74" s="782"/>
      <c r="D74" s="783">
        <f>SUM(D75:D78)</f>
        <v>3000</v>
      </c>
      <c r="E74" s="783">
        <f>SUM(E75:E78)</f>
        <v>0</v>
      </c>
      <c r="F74" s="783">
        <f>SUM(F75:F78)</f>
        <v>0</v>
      </c>
      <c r="G74" s="783">
        <f>SUM(G75:G78)</f>
        <v>1000</v>
      </c>
      <c r="H74" s="783">
        <f t="shared" ref="H74:O74" si="3">SUM(H75:H78)</f>
        <v>1500</v>
      </c>
      <c r="I74" s="783">
        <f>SUM(I75:I78)</f>
        <v>1300</v>
      </c>
      <c r="J74" s="783">
        <f t="shared" si="3"/>
        <v>0</v>
      </c>
      <c r="K74" s="783">
        <f t="shared" si="3"/>
        <v>0</v>
      </c>
      <c r="L74" s="783">
        <f t="shared" si="3"/>
        <v>3600</v>
      </c>
      <c r="M74" s="783">
        <f t="shared" si="3"/>
        <v>2000</v>
      </c>
      <c r="N74" s="783">
        <f>SUM(N75:N78)</f>
        <v>500</v>
      </c>
      <c r="O74" s="783">
        <f t="shared" si="3"/>
        <v>0</v>
      </c>
      <c r="P74" s="783">
        <f>SUM(P75:P78)</f>
        <v>12900</v>
      </c>
    </row>
    <row r="75" spans="2:20" s="114" customFormat="1">
      <c r="B75" s="648" t="s">
        <v>469</v>
      </c>
      <c r="C75" s="648" t="s">
        <v>470</v>
      </c>
      <c r="D75" s="113">
        <v>3000</v>
      </c>
      <c r="E75" s="113"/>
      <c r="F75" s="113"/>
      <c r="G75" s="645">
        <v>1000</v>
      </c>
      <c r="H75" s="113">
        <v>1000</v>
      </c>
      <c r="I75" s="113">
        <v>1000</v>
      </c>
      <c r="J75" s="113"/>
      <c r="K75" s="113"/>
      <c r="L75" s="113">
        <v>1000</v>
      </c>
      <c r="M75" s="113">
        <v>1000</v>
      </c>
      <c r="N75" s="113"/>
      <c r="O75" s="113"/>
      <c r="P75" s="645">
        <f>SUM(D75:O75)</f>
        <v>8000</v>
      </c>
    </row>
    <row r="76" spans="2:20" s="114" customFormat="1">
      <c r="B76" s="648" t="s">
        <v>471</v>
      </c>
      <c r="C76" s="648" t="s">
        <v>472</v>
      </c>
      <c r="D76" s="113"/>
      <c r="E76" s="113"/>
      <c r="F76" s="113"/>
      <c r="G76" s="645"/>
      <c r="H76" s="113"/>
      <c r="I76" s="113"/>
      <c r="J76" s="113"/>
      <c r="K76" s="113"/>
      <c r="L76" s="113">
        <v>2300</v>
      </c>
      <c r="M76" s="113">
        <v>1000</v>
      </c>
      <c r="N76" s="113"/>
      <c r="O76" s="113"/>
      <c r="P76" s="645">
        <f>SUM(D76:O76)</f>
        <v>3300</v>
      </c>
    </row>
    <row r="77" spans="2:20" s="114" customFormat="1">
      <c r="B77" s="648" t="s">
        <v>473</v>
      </c>
      <c r="C77" s="648" t="s">
        <v>474</v>
      </c>
      <c r="D77" s="113"/>
      <c r="E77" s="113"/>
      <c r="F77" s="113"/>
      <c r="G77" s="645"/>
      <c r="H77" s="113"/>
      <c r="I77" s="113">
        <v>300</v>
      </c>
      <c r="J77" s="113"/>
      <c r="K77" s="113"/>
      <c r="L77" s="113">
        <v>300</v>
      </c>
      <c r="M77" s="113"/>
      <c r="N77" s="113"/>
      <c r="O77" s="113"/>
      <c r="P77" s="645">
        <f>SUM(D77:O77)</f>
        <v>600</v>
      </c>
    </row>
    <row r="78" spans="2:20" s="114" customFormat="1">
      <c r="B78" s="644" t="s">
        <v>475</v>
      </c>
      <c r="C78" s="644" t="s">
        <v>476</v>
      </c>
      <c r="D78" s="113"/>
      <c r="E78" s="113"/>
      <c r="F78" s="113"/>
      <c r="G78" s="113"/>
      <c r="H78" s="113">
        <v>500</v>
      </c>
      <c r="I78" s="113"/>
      <c r="J78" s="113"/>
      <c r="K78" s="113"/>
      <c r="L78" s="113"/>
      <c r="M78" s="113"/>
      <c r="N78" s="113">
        <v>500</v>
      </c>
      <c r="O78" s="647"/>
      <c r="P78" s="645">
        <f>SUM(D78:O78)</f>
        <v>1000</v>
      </c>
    </row>
    <row r="79" spans="2:20" s="592" customFormat="1">
      <c r="B79" s="781" t="s">
        <v>1234</v>
      </c>
      <c r="C79" s="782"/>
      <c r="D79" s="783">
        <f>D81+D80</f>
        <v>165000</v>
      </c>
      <c r="E79" s="783">
        <f t="shared" ref="E79:O79" si="4">E81+E80</f>
        <v>2000</v>
      </c>
      <c r="F79" s="783">
        <f t="shared" si="4"/>
        <v>0</v>
      </c>
      <c r="G79" s="783">
        <f t="shared" si="4"/>
        <v>0</v>
      </c>
      <c r="H79" s="783">
        <f t="shared" si="4"/>
        <v>165000</v>
      </c>
      <c r="I79" s="783">
        <f t="shared" si="4"/>
        <v>0</v>
      </c>
      <c r="J79" s="783">
        <f t="shared" si="4"/>
        <v>0</v>
      </c>
      <c r="K79" s="783">
        <f t="shared" si="4"/>
        <v>0</v>
      </c>
      <c r="L79" s="783">
        <f t="shared" si="4"/>
        <v>0</v>
      </c>
      <c r="M79" s="783">
        <f t="shared" si="4"/>
        <v>0</v>
      </c>
      <c r="N79" s="783">
        <f t="shared" si="4"/>
        <v>0</v>
      </c>
      <c r="O79" s="783">
        <f t="shared" si="4"/>
        <v>0</v>
      </c>
      <c r="P79" s="784">
        <f>P81+P80</f>
        <v>332000</v>
      </c>
      <c r="R79" s="114"/>
      <c r="S79" s="114"/>
      <c r="T79" s="114"/>
    </row>
    <row r="80" spans="2:20" s="114" customFormat="1">
      <c r="B80" s="642" t="s">
        <v>477</v>
      </c>
      <c r="C80" s="642" t="s">
        <v>478</v>
      </c>
      <c r="D80" s="643"/>
      <c r="E80" s="643">
        <v>2000</v>
      </c>
      <c r="F80" s="643"/>
      <c r="G80" s="643"/>
      <c r="H80" s="643"/>
      <c r="I80" s="643"/>
      <c r="J80" s="643"/>
      <c r="K80" s="643"/>
      <c r="L80" s="643"/>
      <c r="M80" s="643"/>
      <c r="N80" s="643"/>
      <c r="O80" s="643"/>
      <c r="P80" s="645">
        <f t="shared" ref="P80:P86" si="5">SUM(D80:O80)</f>
        <v>2000</v>
      </c>
    </row>
    <row r="81" spans="2:18" s="114" customFormat="1">
      <c r="B81" s="642" t="s">
        <v>479</v>
      </c>
      <c r="C81" s="642" t="s">
        <v>480</v>
      </c>
      <c r="D81" s="643">
        <f>1000*3*55</f>
        <v>165000</v>
      </c>
      <c r="E81" s="643"/>
      <c r="F81" s="643"/>
      <c r="G81" s="643"/>
      <c r="H81" s="643">
        <v>165000</v>
      </c>
      <c r="I81" s="643"/>
      <c r="J81" s="643"/>
      <c r="K81" s="643"/>
      <c r="L81" s="643"/>
      <c r="M81" s="643"/>
      <c r="N81" s="643"/>
      <c r="O81" s="643"/>
      <c r="P81" s="645">
        <f t="shared" si="5"/>
        <v>330000</v>
      </c>
    </row>
    <row r="82" spans="2:18" s="592" customFormat="1">
      <c r="B82" s="781" t="s">
        <v>1235</v>
      </c>
      <c r="C82" s="782"/>
      <c r="D82" s="783">
        <f t="shared" ref="D82:O82" si="6">SUM(D83:D83)</f>
        <v>0</v>
      </c>
      <c r="E82" s="783">
        <f t="shared" si="6"/>
        <v>0</v>
      </c>
      <c r="F82" s="783">
        <f t="shared" si="6"/>
        <v>0</v>
      </c>
      <c r="G82" s="783">
        <f t="shared" si="6"/>
        <v>0</v>
      </c>
      <c r="H82" s="783">
        <f t="shared" si="6"/>
        <v>0</v>
      </c>
      <c r="I82" s="783">
        <f t="shared" si="6"/>
        <v>0</v>
      </c>
      <c r="J82" s="783">
        <f t="shared" si="6"/>
        <v>0</v>
      </c>
      <c r="K82" s="783">
        <f t="shared" si="6"/>
        <v>0</v>
      </c>
      <c r="L82" s="783">
        <f t="shared" si="6"/>
        <v>0</v>
      </c>
      <c r="M82" s="783">
        <f t="shared" si="6"/>
        <v>0</v>
      </c>
      <c r="N82" s="783">
        <f t="shared" si="6"/>
        <v>0</v>
      </c>
      <c r="O82" s="783">
        <f t="shared" si="6"/>
        <v>0</v>
      </c>
      <c r="P82" s="784">
        <f t="shared" si="5"/>
        <v>0</v>
      </c>
    </row>
    <row r="83" spans="2:18" s="655" customFormat="1">
      <c r="B83" s="642" t="s">
        <v>481</v>
      </c>
      <c r="C83" s="642" t="s">
        <v>482</v>
      </c>
      <c r="D83" s="654"/>
      <c r="E83" s="642"/>
      <c r="F83" s="642"/>
      <c r="G83" s="642"/>
      <c r="H83" s="642"/>
      <c r="I83" s="642"/>
      <c r="J83" s="642"/>
      <c r="K83" s="642"/>
      <c r="L83" s="642"/>
      <c r="M83" s="642"/>
      <c r="N83" s="642"/>
      <c r="O83" s="642"/>
      <c r="P83" s="645">
        <f t="shared" si="5"/>
        <v>0</v>
      </c>
    </row>
    <row r="84" spans="2:18" s="592" customFormat="1">
      <c r="B84" s="781" t="s">
        <v>1236</v>
      </c>
      <c r="C84" s="782"/>
      <c r="D84" s="783">
        <f t="shared" ref="D84:O84" si="7">SUM(D85:D85)</f>
        <v>0</v>
      </c>
      <c r="E84" s="783">
        <f t="shared" si="7"/>
        <v>0</v>
      </c>
      <c r="F84" s="783">
        <f t="shared" si="7"/>
        <v>0</v>
      </c>
      <c r="G84" s="783">
        <f t="shared" si="7"/>
        <v>0</v>
      </c>
      <c r="H84" s="783">
        <f t="shared" si="7"/>
        <v>0</v>
      </c>
      <c r="I84" s="783">
        <f t="shared" si="7"/>
        <v>0</v>
      </c>
      <c r="J84" s="783">
        <f t="shared" si="7"/>
        <v>0</v>
      </c>
      <c r="K84" s="783">
        <f t="shared" si="7"/>
        <v>0</v>
      </c>
      <c r="L84" s="783">
        <f t="shared" si="7"/>
        <v>0</v>
      </c>
      <c r="M84" s="783">
        <f t="shared" si="7"/>
        <v>0</v>
      </c>
      <c r="N84" s="783">
        <f t="shared" si="7"/>
        <v>0</v>
      </c>
      <c r="O84" s="783">
        <f t="shared" si="7"/>
        <v>0</v>
      </c>
      <c r="P84" s="784">
        <f t="shared" si="5"/>
        <v>0</v>
      </c>
    </row>
    <row r="85" spans="2:18">
      <c r="B85" s="291"/>
      <c r="C85" s="292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113"/>
      <c r="P85" s="299">
        <f t="shared" si="5"/>
        <v>0</v>
      </c>
    </row>
    <row r="86" spans="2:18" s="370" customFormat="1" ht="40.5">
      <c r="B86" s="366" t="s">
        <v>1322</v>
      </c>
      <c r="C86" s="367"/>
      <c r="D86" s="368">
        <f ca="1">'0'!C141/3</f>
        <v>5000</v>
      </c>
      <c r="E86" s="368">
        <f>D86</f>
        <v>5000</v>
      </c>
      <c r="F86" s="368">
        <f t="shared" ref="F86:O86" si="8">E86</f>
        <v>5000</v>
      </c>
      <c r="G86" s="368">
        <f t="shared" si="8"/>
        <v>5000</v>
      </c>
      <c r="H86" s="368">
        <f t="shared" si="8"/>
        <v>5000</v>
      </c>
      <c r="I86" s="368">
        <f t="shared" si="8"/>
        <v>5000</v>
      </c>
      <c r="J86" s="368">
        <f t="shared" si="8"/>
        <v>5000</v>
      </c>
      <c r="K86" s="368">
        <f t="shared" si="8"/>
        <v>5000</v>
      </c>
      <c r="L86" s="368">
        <f t="shared" si="8"/>
        <v>5000</v>
      </c>
      <c r="M86" s="368">
        <f t="shared" si="8"/>
        <v>5000</v>
      </c>
      <c r="N86" s="368">
        <f t="shared" si="8"/>
        <v>5000</v>
      </c>
      <c r="O86" s="368">
        <f t="shared" si="8"/>
        <v>5000</v>
      </c>
      <c r="P86" s="369">
        <f t="shared" si="5"/>
        <v>60000</v>
      </c>
    </row>
    <row r="87" spans="2:18">
      <c r="D87" s="371">
        <f>D5+D86</f>
        <v>15000</v>
      </c>
      <c r="E87" s="371">
        <f t="shared" ref="E87:M87" si="9">E5+E86</f>
        <v>62770</v>
      </c>
      <c r="F87" s="371">
        <f t="shared" si="9"/>
        <v>45023</v>
      </c>
      <c r="G87" s="371">
        <f t="shared" si="9"/>
        <v>13760.2</v>
      </c>
      <c r="H87" s="371">
        <f t="shared" si="9"/>
        <v>11089</v>
      </c>
      <c r="I87" s="371">
        <f t="shared" si="9"/>
        <v>10843</v>
      </c>
      <c r="J87" s="371">
        <f t="shared" si="9"/>
        <v>15986</v>
      </c>
      <c r="K87" s="371">
        <f t="shared" si="9"/>
        <v>14600</v>
      </c>
      <c r="L87" s="371">
        <f t="shared" si="9"/>
        <v>15277</v>
      </c>
      <c r="M87" s="371">
        <f t="shared" si="9"/>
        <v>14535</v>
      </c>
      <c r="N87" s="371">
        <f>N5+N86</f>
        <v>13300</v>
      </c>
      <c r="O87" s="371">
        <f>O5+O86</f>
        <v>5000</v>
      </c>
      <c r="P87" s="371">
        <f>P5+P86</f>
        <v>237183.2</v>
      </c>
    </row>
    <row r="88" spans="2:18"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</row>
    <row r="89" spans="2:18">
      <c r="P89" s="761">
        <f>P5+P74+P79+P82+P84+P3</f>
        <v>522083.2</v>
      </c>
    </row>
    <row r="91" spans="2:18">
      <c r="E91" s="291" t="s">
        <v>124</v>
      </c>
      <c r="F91" s="291"/>
      <c r="G91" s="291"/>
      <c r="H91" s="291" t="s">
        <v>127</v>
      </c>
      <c r="I91" s="291"/>
      <c r="J91" s="291"/>
      <c r="K91" s="291" t="s">
        <v>128</v>
      </c>
      <c r="L91" s="113"/>
      <c r="M91" s="291"/>
      <c r="N91" s="291" t="s">
        <v>165</v>
      </c>
      <c r="O91" s="113"/>
      <c r="P91" s="113"/>
      <c r="R91" s="817"/>
    </row>
    <row r="92" spans="2:18">
      <c r="E92" s="816">
        <f>D3+E3+F3+D5+E5+F5+D74+E74+F74+D79+E79+F79+F82+E82+D82+D84+E84+F84</f>
        <v>277793</v>
      </c>
      <c r="F92" s="291"/>
      <c r="G92" s="291"/>
      <c r="H92" s="816">
        <f>G3+H3+I3+G5+H5+I5+G74+H74+I74+G79+H79+I79+I82+H82+G82+G84+H84+I84</f>
        <v>189492.2</v>
      </c>
      <c r="I92" s="291"/>
      <c r="J92" s="291"/>
      <c r="K92" s="816">
        <f>J3+K3+L3+J5+K5+L5+J74+K74+L74+J79+K79+L79+L82+K82+J82+J84+K84+L84</f>
        <v>34463</v>
      </c>
      <c r="L92" s="113"/>
      <c r="M92" s="291"/>
      <c r="N92" s="816">
        <f>M3+N3+O3+M5+N5+O5+M74+N74+O74+M79+N79+O79+O82+N82+M82+M84+N84+O84</f>
        <v>20335</v>
      </c>
      <c r="O92" s="113"/>
      <c r="P92" s="643">
        <f>SUM(E92:N92)</f>
        <v>522083.2</v>
      </c>
    </row>
  </sheetData>
  <phoneticPr fontId="55" type="noConversion"/>
  <hyperlinks>
    <hyperlink ref="B70" r:id="rId1" display="https://prozorro.gov.ua/tender/UA-2021-12-23-004838-c"/>
    <hyperlink ref="C70" r:id="rId2" display="https://prozorro.gov.ua/tender/UA-2021-12-23-004838-c"/>
    <hyperlink ref="B75" r:id="rId3" display="https://prozorro.gov.ua/tender/UA-2021-12-23-001011-c"/>
    <hyperlink ref="C75" r:id="rId4" display="https://prozorro.gov.ua/tender/UA-2021-12-23-001011-c"/>
    <hyperlink ref="B35" r:id="rId5" display="https://prozorro.gov.ua/tender/UA-2021-12-28-012359-c"/>
    <hyperlink ref="B59" r:id="rId6" display="https://prozorro.gov.ua/tender/UA-2021-12-27-000964-c"/>
    <hyperlink ref="C35" r:id="rId7" display="https://prozorro.gov.ua/tender/UA-2021-12-28-012359-c"/>
    <hyperlink ref="C59" r:id="rId8" display="https://prozorro.gov.ua/tender/UA-2021-12-27-000964-c"/>
    <hyperlink ref="B40" r:id="rId9" display="https://prozorro.gov.ua/tender/UA-2022-02-08-005472-b"/>
    <hyperlink ref="C40" r:id="rId10" display="https://prozorro.gov.ua/tender/UA-2022-02-08-005472-b"/>
    <hyperlink ref="B57" r:id="rId11" display="https://prozorro.gov.ua/tender/UA-2022-02-09-006512-b"/>
    <hyperlink ref="B63" r:id="rId12" display="https://prozorro.gov.ua/tender/UA-2022-02-28-000885-a"/>
    <hyperlink ref="C63" r:id="rId13" display="https://prozorro.gov.ua/tender/UA-2022-02-28-000885-a"/>
    <hyperlink ref="C37" r:id="rId14" display="https://prozorro.gov.ua/tender/UA-2022-02-28-001856-a"/>
    <hyperlink ref="B37" r:id="rId15" display="https://prozorro.gov.ua/tender/UA-2022-02-28-001856-a"/>
    <hyperlink ref="B28" r:id="rId16" display="https://prozorro.gov.ua/tender/UA-2022-03-01-002063-a"/>
    <hyperlink ref="C28" r:id="rId17" display="https://prozorro.gov.ua/tender/UA-2022-03-01-002063-a"/>
    <hyperlink ref="B42" r:id="rId18" display="https://prozorro.gov.ua/tender/UA-2022-03-23-003545-b"/>
    <hyperlink ref="C42" r:id="rId19" display="https://prozorro.gov.ua/tender/UA-2022-03-23-003545-b"/>
    <hyperlink ref="B66" r:id="rId20" display="https://prozorro.gov.ua/tender/UA-2022-03-21-001032-a"/>
    <hyperlink ref="C66" r:id="rId21" display="https://prozorro.gov.ua/tender/UA-2022-03-21-001032-a"/>
    <hyperlink ref="B22" r:id="rId22" display="https://prozorro.gov.ua/tender/UA-2022-04-05-003127-b"/>
    <hyperlink ref="C22" r:id="rId23" display="https://prozorro.gov.ua/tender/UA-2022-04-05-003127-b"/>
    <hyperlink ref="B39" r:id="rId24" display="https://prozorro.gov.ua/tender/UA-2022-04-08-001715-b"/>
    <hyperlink ref="C39" r:id="rId25" display="https://prozorro.gov.ua/tender/UA-2022-04-08-001715-b"/>
    <hyperlink ref="B61" r:id="rId26" display="https://prozorro.gov.ua/tender/UA-2022-04-20-000925-a"/>
    <hyperlink ref="C61" r:id="rId27" display="https://prozorro.gov.ua/tender/UA-2022-04-20-000925-a"/>
    <hyperlink ref="B60" r:id="rId28" display="https://prozorro.gov.ua/tender/UA-2022-05-25-002037-a"/>
    <hyperlink ref="C60" r:id="rId29" display="https://prozorro.gov.ua/tender/UA-2022-05-25-002037-a"/>
    <hyperlink ref="C23" r:id="rId30" display="https://prozorro.gov.ua/tender/UA-2022-04-05-003127-b"/>
    <hyperlink ref="B19" r:id="rId31" display="https://prozorro.gov.ua/tender/UA-2022-06-03-003938-a"/>
    <hyperlink ref="C19" r:id="rId32" display="https://prozorro.gov.ua/tender/UA-2022-06-03-003938-a"/>
    <hyperlink ref="B14" r:id="rId33" display="https://prozorro.gov.ua/tender/UA-2022-06-15-006450-a"/>
    <hyperlink ref="C14" r:id="rId34" display="https://prozorro.gov.ua/tender/UA-2022-06-15-006450-a"/>
    <hyperlink ref="B44" r:id="rId35" display="https://prozorro.gov.ua/tender/UA-2022-06-17-004896-a"/>
    <hyperlink ref="C44" r:id="rId36" display="https://prozorro.gov.ua/tender/UA-2022-06-17-004896-a"/>
    <hyperlink ref="C20" r:id="rId37" display="https://prozorro.gov.ua/tender/UA-2022-06-21-003178-a"/>
    <hyperlink ref="B20" r:id="rId38" display="https://prozorro.gov.ua/tender/UA-2022-06-21-003178-a"/>
    <hyperlink ref="C77" r:id="rId39" display="https://prozorro.gov.ua/tender/UA-2022-06-23-000751-a"/>
    <hyperlink ref="B77" r:id="rId40" display="https://prozorro.gov.ua/tender/UA-2022-06-23-000751-a"/>
    <hyperlink ref="B67" r:id="rId41" display="https://prozorro.gov.ua/tender/UA-2022-07-06-000137-a"/>
    <hyperlink ref="C67" r:id="rId42" display="https://prozorro.gov.ua/tender/UA-2022-07-06-000137-a"/>
    <hyperlink ref="B25" r:id="rId43" display="https://prozorro.gov.ua/tender/UA-2022-06-15-003341-a"/>
    <hyperlink ref="C25" r:id="rId44" display="https://prozorro.gov.ua/tender/UA-2022-06-15-003341-a"/>
    <hyperlink ref="B54" r:id="rId45" display="https://prozorro.gov.ua/tender/UA-2022-07-01-005673-a"/>
    <hyperlink ref="C54" r:id="rId46" display="https://prozorro.gov.ua/tender/UA-2022-07-01-005673-a"/>
    <hyperlink ref="B13" r:id="rId47" display="https://prozorro.gov.ua/tender/UA-2022-07-11-001697-a"/>
    <hyperlink ref="C13" r:id="rId48" display="https://prozorro.gov.ua/tender/UA-2022-07-11-001697-a"/>
    <hyperlink ref="B45" r:id="rId49" display="https://prozorro.gov.ua/tender/UA-2022-07-25-002801-a"/>
    <hyperlink ref="C45" r:id="rId50" display="https://prozorro.gov.ua/tender/UA-2022-07-25-002801-a"/>
    <hyperlink ref="B9" r:id="rId51" display="https://prozorro.gov.ua/tender/UA-2022-08-30-000874-a"/>
    <hyperlink ref="C9" r:id="rId52" display="https://prozorro.gov.ua/tender/UA-2022-08-30-000874-a"/>
    <hyperlink ref="B51" r:id="rId53" display="https://prozorro.gov.ua/tender/UA-2022-09-06-007256-a"/>
    <hyperlink ref="C51" r:id="rId54" display="https://prozorro.gov.ua/tender/UA-2022-09-06-007256-a"/>
    <hyperlink ref="B65" r:id="rId55" display="https://prozorro.gov.ua/tender/UA-2022-04-20-000925-a"/>
    <hyperlink ref="C65" r:id="rId56" display="https://prozorro.gov.ua/tender/UA-2022-04-20-000925-a"/>
    <hyperlink ref="B50" r:id="rId57" display="https://prozorro.gov.ua/tender/UA-2022-09-16-004153-a"/>
    <hyperlink ref="C50" r:id="rId58" display="https://prozorro.gov.ua/tender/UA-2022-09-16-004153-a"/>
    <hyperlink ref="B30" r:id="rId59" display="https://prozorro.gov.ua/tender/UA-2022-09-16-008376-a"/>
    <hyperlink ref="C30" r:id="rId60" display="https://prozorro.gov.ua/tender/UA-2022-09-16-008376-a"/>
    <hyperlink ref="B34" r:id="rId61" display="https://prozorro.gov.ua/tender/UA-2022-09-16-008121-a"/>
    <hyperlink ref="C34" r:id="rId62" display="https://prozorro.gov.ua/tender/UA-2022-09-16-008121-a"/>
    <hyperlink ref="B46" r:id="rId63" display="https://prozorro.gov.ua/tender/UA-2022-10-04-008957-a"/>
    <hyperlink ref="C46" r:id="rId64" display="https://prozorro.gov.ua/tender/UA-2022-10-04-008957-a"/>
    <hyperlink ref="B69" r:id="rId65" display="https://prozorro.gov.ua/tender/UA-2022-10-04-002820-a"/>
    <hyperlink ref="C69" r:id="rId66" display="https://prozorro.gov.ua/tender/UA-2022-10-04-002820-a"/>
    <hyperlink ref="B7" r:id="rId67" display="https://prozorro.gov.ua/tender/UA-2022-10-11-005598-a"/>
  </hyperlinks>
  <pageMargins left="0" right="0" top="0" bottom="0" header="0" footer="0"/>
  <pageSetup paperSize="9" scale="34" fitToWidth="0" orientation="landscape" r:id="rId68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T507"/>
  <sheetViews>
    <sheetView view="pageBreakPreview" zoomScale="72" zoomScaleNormal="100" zoomScaleSheetLayoutView="72" workbookViewId="0">
      <selection activeCell="N15" sqref="N15"/>
    </sheetView>
  </sheetViews>
  <sheetFormatPr defaultRowHeight="15.75"/>
  <cols>
    <col min="1" max="1" width="3" customWidth="1"/>
    <col min="2" max="2" width="5.7109375" style="328" customWidth="1"/>
    <col min="3" max="3" width="88.42578125" style="562" customWidth="1"/>
    <col min="4" max="4" width="72.5703125" style="334" customWidth="1"/>
    <col min="5" max="5" width="11.42578125" style="328" customWidth="1"/>
    <col min="6" max="6" width="12.5703125" style="328" customWidth="1"/>
    <col min="7" max="7" width="20.28515625" style="328" hidden="1" customWidth="1"/>
    <col min="8" max="8" width="10.85546875" style="328" bestFit="1" customWidth="1"/>
    <col min="9" max="9" width="13.85546875" style="328" hidden="1" customWidth="1"/>
    <col min="10" max="10" width="14.5703125" style="332" bestFit="1" customWidth="1"/>
    <col min="11" max="11" width="10.85546875" bestFit="1" customWidth="1"/>
    <col min="12" max="12" width="25" style="73" customWidth="1"/>
    <col min="13" max="13" width="9.7109375" bestFit="1" customWidth="1"/>
    <col min="14" max="14" width="10.28515625" bestFit="1" customWidth="1"/>
    <col min="15" max="15" width="13.85546875" style="563" bestFit="1" customWidth="1"/>
    <col min="16" max="16" width="11.7109375" bestFit="1" customWidth="1"/>
    <col min="17" max="17" width="77.140625" style="283" customWidth="1"/>
    <col min="18" max="18" width="13.85546875" bestFit="1" customWidth="1"/>
    <col min="19" max="19" width="9.140625" style="284"/>
    <col min="20" max="20" width="19.28515625" customWidth="1"/>
  </cols>
  <sheetData>
    <row r="1" spans="2:17">
      <c r="B1" s="459"/>
      <c r="C1" s="460"/>
      <c r="D1" s="461"/>
      <c r="E1" s="459"/>
      <c r="F1" s="459"/>
      <c r="G1" s="459"/>
      <c r="H1" s="459"/>
      <c r="I1" s="459"/>
      <c r="J1" s="462"/>
      <c r="K1" s="235"/>
      <c r="L1" s="235"/>
      <c r="M1" s="235"/>
      <c r="N1" s="235"/>
      <c r="O1" s="463"/>
      <c r="P1" s="235"/>
    </row>
    <row r="2" spans="2:17">
      <c r="B2" s="459"/>
      <c r="C2" s="464" t="s">
        <v>539</v>
      </c>
      <c r="D2" s="465" t="s">
        <v>690</v>
      </c>
      <c r="E2" s="459"/>
      <c r="F2" s="459"/>
      <c r="G2" s="459"/>
      <c r="H2" s="459"/>
      <c r="I2" s="459"/>
      <c r="J2" s="462"/>
      <c r="K2" s="235"/>
      <c r="L2" s="235"/>
      <c r="M2" s="235"/>
      <c r="N2" s="235"/>
      <c r="O2" s="463"/>
      <c r="P2" s="235"/>
    </row>
    <row r="3" spans="2:17">
      <c r="B3" s="459"/>
      <c r="C3" s="460"/>
      <c r="D3" s="461"/>
      <c r="E3" s="459"/>
      <c r="F3" s="459"/>
      <c r="G3" s="459"/>
      <c r="H3" s="459"/>
      <c r="I3" s="459"/>
      <c r="J3" s="462"/>
      <c r="K3" s="235"/>
      <c r="L3" s="235"/>
      <c r="M3" s="235"/>
      <c r="N3" s="235"/>
      <c r="O3" s="463"/>
      <c r="P3" s="235"/>
    </row>
    <row r="4" spans="2:17" s="284" customFormat="1" ht="39" customHeight="1">
      <c r="B4" s="466" t="s">
        <v>691</v>
      </c>
      <c r="C4" s="467" t="s">
        <v>692</v>
      </c>
      <c r="D4" s="468" t="s">
        <v>693</v>
      </c>
      <c r="E4" s="638" t="s">
        <v>1786</v>
      </c>
      <c r="F4" s="243" t="s">
        <v>1861</v>
      </c>
      <c r="G4" s="469" t="s">
        <v>1862</v>
      </c>
      <c r="H4" s="469" t="s">
        <v>82</v>
      </c>
      <c r="I4" s="470" t="s">
        <v>1863</v>
      </c>
      <c r="J4" s="471" t="s">
        <v>540</v>
      </c>
      <c r="K4" s="164"/>
      <c r="L4" s="235"/>
      <c r="M4" s="164"/>
      <c r="N4" s="164"/>
      <c r="O4" s="472"/>
      <c r="P4" s="164"/>
      <c r="Q4" s="628"/>
    </row>
    <row r="5" spans="2:17">
      <c r="B5" s="243">
        <v>1</v>
      </c>
      <c r="C5" s="290" t="s">
        <v>694</v>
      </c>
      <c r="D5" s="290" t="s">
        <v>695</v>
      </c>
      <c r="E5" s="243" t="s">
        <v>696</v>
      </c>
      <c r="F5" s="243">
        <v>200</v>
      </c>
      <c r="G5" s="265">
        <f>51.04/10</f>
        <v>5.1040000000000001</v>
      </c>
      <c r="H5" s="265">
        <f>51.04/10</f>
        <v>5.1040000000000001</v>
      </c>
      <c r="I5" s="265"/>
      <c r="J5" s="276">
        <f>H5*F5</f>
        <v>1020.8000000000001</v>
      </c>
      <c r="K5" s="235"/>
      <c r="L5" s="235"/>
      <c r="M5" s="235"/>
      <c r="N5" s="235"/>
      <c r="O5" s="463"/>
      <c r="P5" s="235"/>
    </row>
    <row r="6" spans="2:17">
      <c r="B6" s="243">
        <f>1+B5</f>
        <v>2</v>
      </c>
      <c r="C6" s="290" t="s">
        <v>697</v>
      </c>
      <c r="D6" s="290" t="s">
        <v>698</v>
      </c>
      <c r="E6" s="243" t="s">
        <v>1924</v>
      </c>
      <c r="F6" s="243">
        <v>6</v>
      </c>
      <c r="G6" s="265">
        <v>9.4</v>
      </c>
      <c r="H6" s="265">
        <v>9.4</v>
      </c>
      <c r="I6" s="265"/>
      <c r="J6" s="276">
        <f t="shared" ref="J6:J69" si="0">H6*F6</f>
        <v>56.400000000000006</v>
      </c>
      <c r="K6" s="235"/>
      <c r="L6" s="235"/>
      <c r="M6" s="235"/>
      <c r="N6" s="235"/>
      <c r="O6" s="463"/>
      <c r="P6" s="235"/>
    </row>
    <row r="7" spans="2:17">
      <c r="B7" s="243">
        <f t="shared" ref="B7:B70" si="1">1+B6</f>
        <v>3</v>
      </c>
      <c r="C7" s="290" t="s">
        <v>699</v>
      </c>
      <c r="D7" s="290" t="s">
        <v>700</v>
      </c>
      <c r="E7" s="243" t="s">
        <v>696</v>
      </c>
      <c r="F7" s="243">
        <v>120</v>
      </c>
      <c r="G7" s="265">
        <f>41.31/10</f>
        <v>4.1310000000000002</v>
      </c>
      <c r="H7" s="265">
        <f>41.31/10</f>
        <v>4.1310000000000002</v>
      </c>
      <c r="I7" s="265"/>
      <c r="J7" s="276">
        <f t="shared" si="0"/>
        <v>495.72</v>
      </c>
      <c r="K7" s="235"/>
      <c r="L7" s="235"/>
      <c r="M7" s="235"/>
      <c r="N7" s="235"/>
      <c r="O7" s="463"/>
      <c r="P7" s="235"/>
    </row>
    <row r="8" spans="2:17">
      <c r="B8" s="243">
        <f t="shared" si="1"/>
        <v>4</v>
      </c>
      <c r="C8" s="290" t="s">
        <v>701</v>
      </c>
      <c r="D8" s="290" t="s">
        <v>702</v>
      </c>
      <c r="E8" s="243" t="s">
        <v>1924</v>
      </c>
      <c r="F8" s="243">
        <v>50</v>
      </c>
      <c r="G8" s="265">
        <v>66.180000000000007</v>
      </c>
      <c r="H8" s="265">
        <v>66.180000000000007</v>
      </c>
      <c r="I8" s="265"/>
      <c r="J8" s="276">
        <f t="shared" si="0"/>
        <v>3309.0000000000005</v>
      </c>
      <c r="K8" s="235"/>
      <c r="L8" s="235"/>
      <c r="M8" s="235"/>
      <c r="N8" s="235"/>
      <c r="O8" s="463"/>
      <c r="P8" s="235"/>
    </row>
    <row r="9" spans="2:17">
      <c r="B9" s="243">
        <f t="shared" si="1"/>
        <v>5</v>
      </c>
      <c r="C9" s="290" t="s">
        <v>703</v>
      </c>
      <c r="D9" s="290" t="s">
        <v>704</v>
      </c>
      <c r="E9" s="243" t="s">
        <v>696</v>
      </c>
      <c r="F9" s="243">
        <f>15*20</f>
        <v>300</v>
      </c>
      <c r="G9" s="265">
        <f>11.18/20</f>
        <v>0.55899999999999994</v>
      </c>
      <c r="H9" s="265">
        <f>11.18/20</f>
        <v>0.55899999999999994</v>
      </c>
      <c r="I9" s="265"/>
      <c r="J9" s="276">
        <f t="shared" si="0"/>
        <v>167.7</v>
      </c>
      <c r="K9" s="235"/>
      <c r="L9" s="235"/>
      <c r="M9" s="235"/>
      <c r="N9" s="235"/>
      <c r="O9" s="463"/>
      <c r="P9" s="235"/>
    </row>
    <row r="10" spans="2:17">
      <c r="B10" s="243">
        <f t="shared" si="1"/>
        <v>6</v>
      </c>
      <c r="C10" s="290" t="s">
        <v>705</v>
      </c>
      <c r="D10" s="290" t="s">
        <v>706</v>
      </c>
      <c r="E10" s="243" t="s">
        <v>696</v>
      </c>
      <c r="F10" s="243">
        <v>30</v>
      </c>
      <c r="G10" s="265">
        <v>176.55</v>
      </c>
      <c r="H10" s="265">
        <v>176.55</v>
      </c>
      <c r="I10" s="265"/>
      <c r="J10" s="276">
        <f t="shared" si="0"/>
        <v>5296.5</v>
      </c>
      <c r="K10" s="235"/>
      <c r="L10" s="235"/>
      <c r="M10" s="235"/>
      <c r="N10" s="235"/>
      <c r="O10" s="463"/>
      <c r="P10" s="235"/>
    </row>
    <row r="11" spans="2:17">
      <c r="B11" s="243">
        <f t="shared" si="1"/>
        <v>7</v>
      </c>
      <c r="C11" s="290" t="s">
        <v>707</v>
      </c>
      <c r="D11" s="290" t="s">
        <v>708</v>
      </c>
      <c r="E11" s="243" t="s">
        <v>696</v>
      </c>
      <c r="F11" s="243">
        <v>10</v>
      </c>
      <c r="G11" s="265">
        <v>60.5</v>
      </c>
      <c r="H11" s="265">
        <v>60.5</v>
      </c>
      <c r="I11" s="265"/>
      <c r="J11" s="276">
        <f t="shared" si="0"/>
        <v>605</v>
      </c>
      <c r="K11" s="235"/>
      <c r="L11" s="235"/>
      <c r="M11" s="235"/>
      <c r="N11" s="235"/>
      <c r="O11" s="463"/>
      <c r="P11" s="235"/>
    </row>
    <row r="12" spans="2:17">
      <c r="B12" s="243">
        <f t="shared" si="1"/>
        <v>8</v>
      </c>
      <c r="C12" s="290" t="s">
        <v>709</v>
      </c>
      <c r="D12" s="290" t="s">
        <v>710</v>
      </c>
      <c r="E12" s="243" t="s">
        <v>696</v>
      </c>
      <c r="F12" s="243">
        <v>5</v>
      </c>
      <c r="G12" s="265">
        <v>58.85</v>
      </c>
      <c r="H12" s="265">
        <v>58.85</v>
      </c>
      <c r="I12" s="265"/>
      <c r="J12" s="276">
        <f t="shared" si="0"/>
        <v>294.25</v>
      </c>
      <c r="K12" s="235"/>
      <c r="L12" s="235"/>
      <c r="M12" s="235"/>
      <c r="N12" s="235"/>
      <c r="O12" s="463"/>
      <c r="P12" s="235"/>
    </row>
    <row r="13" spans="2:17">
      <c r="B13" s="243">
        <f t="shared" si="1"/>
        <v>9</v>
      </c>
      <c r="C13" s="290" t="s">
        <v>711</v>
      </c>
      <c r="D13" s="290" t="s">
        <v>710</v>
      </c>
      <c r="E13" s="243" t="s">
        <v>696</v>
      </c>
      <c r="F13" s="243">
        <v>20</v>
      </c>
      <c r="G13" s="265">
        <v>47.08</v>
      </c>
      <c r="H13" s="265">
        <v>47.08</v>
      </c>
      <c r="I13" s="265"/>
      <c r="J13" s="276">
        <f t="shared" si="0"/>
        <v>941.59999999999991</v>
      </c>
      <c r="K13" s="235"/>
      <c r="L13" s="235"/>
      <c r="M13" s="235"/>
      <c r="N13" s="235"/>
      <c r="O13" s="463"/>
      <c r="P13" s="235"/>
    </row>
    <row r="14" spans="2:17">
      <c r="B14" s="243">
        <f t="shared" si="1"/>
        <v>10</v>
      </c>
      <c r="C14" s="290" t="s">
        <v>712</v>
      </c>
      <c r="D14" s="290" t="s">
        <v>713</v>
      </c>
      <c r="E14" s="243" t="s">
        <v>696</v>
      </c>
      <c r="F14" s="243">
        <v>200</v>
      </c>
      <c r="G14" s="265">
        <f>62.38/10</f>
        <v>6.2380000000000004</v>
      </c>
      <c r="H14" s="265">
        <f>62.38/10</f>
        <v>6.2380000000000004</v>
      </c>
      <c r="I14" s="265"/>
      <c r="J14" s="276">
        <f t="shared" si="0"/>
        <v>1247.6000000000001</v>
      </c>
      <c r="K14" s="235"/>
      <c r="L14" s="235"/>
      <c r="M14" s="235"/>
      <c r="N14" s="235"/>
      <c r="O14" s="463"/>
      <c r="P14" s="235"/>
    </row>
    <row r="15" spans="2:17">
      <c r="B15" s="243">
        <f t="shared" si="1"/>
        <v>11</v>
      </c>
      <c r="C15" s="290" t="s">
        <v>714</v>
      </c>
      <c r="D15" s="290" t="s">
        <v>715</v>
      </c>
      <c r="E15" s="243" t="s">
        <v>696</v>
      </c>
      <c r="F15" s="243">
        <f>10*5</f>
        <v>50</v>
      </c>
      <c r="G15" s="265">
        <f>211.31/5</f>
        <v>42.262</v>
      </c>
      <c r="H15" s="265">
        <f>211.31/5</f>
        <v>42.262</v>
      </c>
      <c r="I15" s="265"/>
      <c r="J15" s="276">
        <f t="shared" si="0"/>
        <v>2113.1</v>
      </c>
      <c r="K15" s="235"/>
      <c r="L15" s="235"/>
      <c r="M15" s="235"/>
      <c r="N15" s="235"/>
      <c r="O15" s="463"/>
      <c r="P15" s="235"/>
    </row>
    <row r="16" spans="2:17">
      <c r="B16" s="243">
        <f t="shared" si="1"/>
        <v>12</v>
      </c>
      <c r="C16" s="290" t="s">
        <v>716</v>
      </c>
      <c r="D16" s="290" t="s">
        <v>715</v>
      </c>
      <c r="E16" s="243" t="s">
        <v>696</v>
      </c>
      <c r="F16" s="243">
        <f>20*5</f>
        <v>100</v>
      </c>
      <c r="G16" s="265">
        <f>310.75/5</f>
        <v>62.15</v>
      </c>
      <c r="H16" s="265">
        <f>310.75/5</f>
        <v>62.15</v>
      </c>
      <c r="I16" s="265"/>
      <c r="J16" s="276">
        <f t="shared" si="0"/>
        <v>6215</v>
      </c>
      <c r="K16" s="235"/>
      <c r="L16" s="235"/>
      <c r="M16" s="235"/>
      <c r="N16" s="235"/>
      <c r="O16" s="463"/>
      <c r="P16" s="235"/>
    </row>
    <row r="17" spans="2:16">
      <c r="B17" s="243">
        <f t="shared" si="1"/>
        <v>13</v>
      </c>
      <c r="C17" s="290" t="s">
        <v>717</v>
      </c>
      <c r="D17" s="290" t="s">
        <v>718</v>
      </c>
      <c r="E17" s="243" t="s">
        <v>696</v>
      </c>
      <c r="F17" s="243">
        <v>9</v>
      </c>
      <c r="G17" s="265">
        <v>40.15</v>
      </c>
      <c r="H17" s="265">
        <v>40.15</v>
      </c>
      <c r="I17" s="265"/>
      <c r="J17" s="276">
        <f t="shared" si="0"/>
        <v>361.34999999999997</v>
      </c>
      <c r="K17" s="235"/>
      <c r="L17" s="235"/>
      <c r="M17" s="235"/>
      <c r="N17" s="235"/>
      <c r="O17" s="463"/>
      <c r="P17" s="235"/>
    </row>
    <row r="18" spans="2:16">
      <c r="B18" s="243">
        <f t="shared" si="1"/>
        <v>14</v>
      </c>
      <c r="C18" s="290" t="s">
        <v>719</v>
      </c>
      <c r="D18" s="290" t="s">
        <v>720</v>
      </c>
      <c r="E18" s="243" t="s">
        <v>696</v>
      </c>
      <c r="F18" s="243">
        <v>20</v>
      </c>
      <c r="G18" s="265">
        <v>16.48</v>
      </c>
      <c r="H18" s="265">
        <v>16.48</v>
      </c>
      <c r="I18" s="265"/>
      <c r="J18" s="276">
        <f t="shared" si="0"/>
        <v>329.6</v>
      </c>
      <c r="K18" s="235"/>
      <c r="L18" s="235"/>
      <c r="M18" s="235"/>
      <c r="N18" s="235"/>
      <c r="O18" s="463"/>
      <c r="P18" s="235"/>
    </row>
    <row r="19" spans="2:16">
      <c r="B19" s="243">
        <f t="shared" si="1"/>
        <v>15</v>
      </c>
      <c r="C19" s="290" t="s">
        <v>721</v>
      </c>
      <c r="D19" s="290" t="s">
        <v>722</v>
      </c>
      <c r="E19" s="243" t="s">
        <v>696</v>
      </c>
      <c r="F19" s="243">
        <v>5</v>
      </c>
      <c r="G19" s="265">
        <v>192.82</v>
      </c>
      <c r="H19" s="265">
        <v>192.82</v>
      </c>
      <c r="I19" s="265"/>
      <c r="J19" s="276">
        <f t="shared" si="0"/>
        <v>964.09999999999991</v>
      </c>
      <c r="K19" s="235"/>
      <c r="L19" s="235"/>
      <c r="M19" s="235"/>
      <c r="N19" s="235"/>
      <c r="O19" s="463"/>
      <c r="P19" s="235"/>
    </row>
    <row r="20" spans="2:16">
      <c r="B20" s="243">
        <f t="shared" si="1"/>
        <v>16</v>
      </c>
      <c r="C20" s="290" t="s">
        <v>723</v>
      </c>
      <c r="D20" s="290" t="s">
        <v>724</v>
      </c>
      <c r="E20" s="243" t="s">
        <v>696</v>
      </c>
      <c r="F20" s="243">
        <v>2</v>
      </c>
      <c r="G20" s="265">
        <v>288.37</v>
      </c>
      <c r="H20" s="265">
        <v>288.37</v>
      </c>
      <c r="I20" s="265"/>
      <c r="J20" s="276">
        <f t="shared" si="0"/>
        <v>576.74</v>
      </c>
      <c r="K20" s="235"/>
      <c r="L20" s="235"/>
      <c r="M20" s="235"/>
      <c r="N20" s="235"/>
      <c r="O20" s="463"/>
      <c r="P20" s="235"/>
    </row>
    <row r="21" spans="2:16">
      <c r="B21" s="243">
        <f t="shared" si="1"/>
        <v>17</v>
      </c>
      <c r="C21" s="290" t="s">
        <v>725</v>
      </c>
      <c r="D21" s="290" t="s">
        <v>726</v>
      </c>
      <c r="E21" s="243" t="s">
        <v>696</v>
      </c>
      <c r="F21" s="243">
        <v>20</v>
      </c>
      <c r="G21" s="265">
        <v>22.36</v>
      </c>
      <c r="H21" s="265">
        <v>22.36</v>
      </c>
      <c r="I21" s="265"/>
      <c r="J21" s="276">
        <f t="shared" si="0"/>
        <v>447.2</v>
      </c>
      <c r="K21" s="235"/>
      <c r="L21" s="235"/>
      <c r="M21" s="235"/>
      <c r="N21" s="235"/>
      <c r="O21" s="463"/>
      <c r="P21" s="235"/>
    </row>
    <row r="22" spans="2:16">
      <c r="B22" s="243">
        <f t="shared" si="1"/>
        <v>18</v>
      </c>
      <c r="C22" s="290" t="s">
        <v>727</v>
      </c>
      <c r="D22" s="290" t="s">
        <v>728</v>
      </c>
      <c r="E22" s="243" t="s">
        <v>696</v>
      </c>
      <c r="F22" s="243">
        <v>2</v>
      </c>
      <c r="G22" s="265">
        <v>59.44</v>
      </c>
      <c r="H22" s="265">
        <v>59.44</v>
      </c>
      <c r="I22" s="265"/>
      <c r="J22" s="276">
        <f t="shared" si="0"/>
        <v>118.88</v>
      </c>
      <c r="K22" s="235"/>
      <c r="L22" s="235"/>
      <c r="M22" s="235"/>
      <c r="N22" s="235"/>
      <c r="O22" s="463"/>
      <c r="P22" s="235"/>
    </row>
    <row r="23" spans="2:16">
      <c r="B23" s="243">
        <f t="shared" si="1"/>
        <v>19</v>
      </c>
      <c r="C23" s="290" t="s">
        <v>729</v>
      </c>
      <c r="D23" s="290" t="s">
        <v>730</v>
      </c>
      <c r="E23" s="243" t="s">
        <v>696</v>
      </c>
      <c r="F23" s="243">
        <f>200*10</f>
        <v>2000</v>
      </c>
      <c r="G23" s="265">
        <f>19.89/10</f>
        <v>1.9890000000000001</v>
      </c>
      <c r="H23" s="265">
        <f>19.89/10</f>
        <v>1.9890000000000001</v>
      </c>
      <c r="I23" s="265"/>
      <c r="J23" s="276">
        <f t="shared" si="0"/>
        <v>3978</v>
      </c>
      <c r="K23" s="235"/>
      <c r="L23" s="235"/>
      <c r="M23" s="235"/>
      <c r="N23" s="235"/>
      <c r="O23" s="463"/>
      <c r="P23" s="235"/>
    </row>
    <row r="24" spans="2:16">
      <c r="B24" s="243">
        <f t="shared" si="1"/>
        <v>20</v>
      </c>
      <c r="C24" s="290" t="s">
        <v>731</v>
      </c>
      <c r="D24" s="290" t="s">
        <v>730</v>
      </c>
      <c r="E24" s="243" t="s">
        <v>696</v>
      </c>
      <c r="F24" s="243">
        <v>200</v>
      </c>
      <c r="G24" s="265">
        <f>25.07/10</f>
        <v>2.5070000000000001</v>
      </c>
      <c r="H24" s="265">
        <f>25.07/10</f>
        <v>2.5070000000000001</v>
      </c>
      <c r="I24" s="265"/>
      <c r="J24" s="276">
        <f t="shared" si="0"/>
        <v>501.40000000000003</v>
      </c>
      <c r="K24" s="235"/>
      <c r="L24" s="235"/>
      <c r="M24" s="235"/>
      <c r="N24" s="235"/>
      <c r="O24" s="463"/>
      <c r="P24" s="235"/>
    </row>
    <row r="25" spans="2:16">
      <c r="B25" s="243">
        <f t="shared" si="1"/>
        <v>21</v>
      </c>
      <c r="C25" s="290" t="s">
        <v>732</v>
      </c>
      <c r="D25" s="290" t="s">
        <v>733</v>
      </c>
      <c r="E25" s="243" t="s">
        <v>696</v>
      </c>
      <c r="F25" s="243">
        <v>17</v>
      </c>
      <c r="G25" s="265">
        <v>655.16</v>
      </c>
      <c r="H25" s="265">
        <v>655.16</v>
      </c>
      <c r="I25" s="265"/>
      <c r="J25" s="276">
        <f t="shared" si="0"/>
        <v>11137.72</v>
      </c>
      <c r="K25" s="235"/>
      <c r="L25" s="235"/>
      <c r="M25" s="235"/>
      <c r="N25" s="235"/>
      <c r="O25" s="463"/>
      <c r="P25" s="235"/>
    </row>
    <row r="26" spans="2:16">
      <c r="B26" s="243">
        <f t="shared" si="1"/>
        <v>22</v>
      </c>
      <c r="C26" s="290" t="s">
        <v>734</v>
      </c>
      <c r="D26" s="290" t="s">
        <v>733</v>
      </c>
      <c r="E26" s="243" t="s">
        <v>696</v>
      </c>
      <c r="F26" s="243">
        <v>40</v>
      </c>
      <c r="G26" s="265">
        <v>196.3</v>
      </c>
      <c r="H26" s="265">
        <v>196.3</v>
      </c>
      <c r="I26" s="265"/>
      <c r="J26" s="276">
        <f t="shared" si="0"/>
        <v>7852</v>
      </c>
      <c r="K26" s="235"/>
      <c r="L26" s="235"/>
      <c r="M26" s="235"/>
      <c r="N26" s="235"/>
      <c r="O26" s="463"/>
      <c r="P26" s="235"/>
    </row>
    <row r="27" spans="2:16">
      <c r="B27" s="243">
        <f t="shared" si="1"/>
        <v>23</v>
      </c>
      <c r="C27" s="290" t="s">
        <v>735</v>
      </c>
      <c r="D27" s="290" t="s">
        <v>733</v>
      </c>
      <c r="E27" s="243" t="s">
        <v>696</v>
      </c>
      <c r="F27" s="243">
        <v>10</v>
      </c>
      <c r="G27" s="265">
        <v>253.33</v>
      </c>
      <c r="H27" s="265">
        <v>253.33</v>
      </c>
      <c r="I27" s="265"/>
      <c r="J27" s="276">
        <f t="shared" si="0"/>
        <v>2533.3000000000002</v>
      </c>
      <c r="K27" s="235"/>
      <c r="L27" s="235"/>
      <c r="M27" s="235"/>
      <c r="N27" s="235"/>
      <c r="O27" s="463"/>
      <c r="P27" s="235"/>
    </row>
    <row r="28" spans="2:16">
      <c r="B28" s="243">
        <f t="shared" si="1"/>
        <v>24</v>
      </c>
      <c r="C28" s="290" t="s">
        <v>736</v>
      </c>
      <c r="D28" s="290" t="s">
        <v>737</v>
      </c>
      <c r="E28" s="243" t="s">
        <v>696</v>
      </c>
      <c r="F28" s="243">
        <v>20</v>
      </c>
      <c r="G28" s="265">
        <v>66</v>
      </c>
      <c r="H28" s="265">
        <v>66</v>
      </c>
      <c r="I28" s="265"/>
      <c r="J28" s="276">
        <f t="shared" si="0"/>
        <v>1320</v>
      </c>
      <c r="K28" s="235"/>
      <c r="L28" s="235"/>
      <c r="M28" s="235"/>
      <c r="N28" s="235"/>
      <c r="O28" s="463"/>
      <c r="P28" s="235"/>
    </row>
    <row r="29" spans="2:16">
      <c r="B29" s="243">
        <f t="shared" si="1"/>
        <v>25</v>
      </c>
      <c r="C29" s="290" t="s">
        <v>738</v>
      </c>
      <c r="D29" s="290" t="s">
        <v>739</v>
      </c>
      <c r="E29" s="243" t="s">
        <v>696</v>
      </c>
      <c r="F29" s="243">
        <v>3</v>
      </c>
      <c r="G29" s="265">
        <v>568.70000000000005</v>
      </c>
      <c r="H29" s="265">
        <v>568.70000000000005</v>
      </c>
      <c r="I29" s="265"/>
      <c r="J29" s="276">
        <f t="shared" si="0"/>
        <v>1706.1000000000001</v>
      </c>
      <c r="K29" s="235"/>
      <c r="L29" s="235"/>
      <c r="M29" s="235"/>
      <c r="N29" s="235"/>
      <c r="O29" s="463"/>
      <c r="P29" s="235"/>
    </row>
    <row r="30" spans="2:16">
      <c r="B30" s="243">
        <f t="shared" si="1"/>
        <v>26</v>
      </c>
      <c r="C30" s="290" t="s">
        <v>740</v>
      </c>
      <c r="D30" s="290" t="s">
        <v>741</v>
      </c>
      <c r="E30" s="243" t="s">
        <v>696</v>
      </c>
      <c r="F30" s="243">
        <f>4*10</f>
        <v>40</v>
      </c>
      <c r="G30" s="265">
        <f>141.24/10</f>
        <v>14.124000000000001</v>
      </c>
      <c r="H30" s="265">
        <f>141.24/10</f>
        <v>14.124000000000001</v>
      </c>
      <c r="I30" s="265"/>
      <c r="J30" s="276">
        <f t="shared" si="0"/>
        <v>564.96</v>
      </c>
      <c r="K30" s="235"/>
      <c r="L30" s="235"/>
      <c r="M30" s="235"/>
      <c r="N30" s="235"/>
      <c r="O30" s="463"/>
      <c r="P30" s="235"/>
    </row>
    <row r="31" spans="2:16">
      <c r="B31" s="243">
        <f t="shared" si="1"/>
        <v>27</v>
      </c>
      <c r="C31" s="290" t="s">
        <v>742</v>
      </c>
      <c r="D31" s="290" t="s">
        <v>743</v>
      </c>
      <c r="E31" s="243" t="s">
        <v>696</v>
      </c>
      <c r="F31" s="243">
        <f>265*10</f>
        <v>2650</v>
      </c>
      <c r="G31" s="265">
        <f>55.66/10</f>
        <v>5.5659999999999998</v>
      </c>
      <c r="H31" s="265">
        <f>55.66/10</f>
        <v>5.5659999999999998</v>
      </c>
      <c r="I31" s="265"/>
      <c r="J31" s="276">
        <f t="shared" si="0"/>
        <v>14749.9</v>
      </c>
      <c r="K31" s="235"/>
      <c r="L31" s="235"/>
      <c r="M31" s="235"/>
      <c r="N31" s="235"/>
      <c r="O31" s="463"/>
      <c r="P31" s="235"/>
    </row>
    <row r="32" spans="2:16">
      <c r="B32" s="243">
        <f t="shared" si="1"/>
        <v>28</v>
      </c>
      <c r="C32" s="290" t="s">
        <v>744</v>
      </c>
      <c r="D32" s="290" t="s">
        <v>745</v>
      </c>
      <c r="E32" s="243" t="s">
        <v>696</v>
      </c>
      <c r="F32" s="243">
        <f>200*5</f>
        <v>1000</v>
      </c>
      <c r="G32" s="265">
        <f>776.82/5</f>
        <v>155.364</v>
      </c>
      <c r="H32" s="265">
        <f>776.82/5</f>
        <v>155.364</v>
      </c>
      <c r="I32" s="265"/>
      <c r="J32" s="276">
        <f t="shared" si="0"/>
        <v>155364</v>
      </c>
      <c r="K32" s="235"/>
      <c r="L32" s="235"/>
      <c r="M32" s="235"/>
      <c r="N32" s="235"/>
      <c r="O32" s="463"/>
      <c r="P32" s="235"/>
    </row>
    <row r="33" spans="2:19">
      <c r="B33" s="243">
        <f t="shared" si="1"/>
        <v>29</v>
      </c>
      <c r="C33" s="290" t="s">
        <v>746</v>
      </c>
      <c r="D33" s="290" t="s">
        <v>747</v>
      </c>
      <c r="E33" s="243" t="s">
        <v>696</v>
      </c>
      <c r="F33" s="243">
        <f>5*10</f>
        <v>50</v>
      </c>
      <c r="G33" s="265">
        <f>147.13/10</f>
        <v>14.712999999999999</v>
      </c>
      <c r="H33" s="265">
        <f>147.13/10</f>
        <v>14.712999999999999</v>
      </c>
      <c r="I33" s="265"/>
      <c r="J33" s="276">
        <f t="shared" si="0"/>
        <v>735.65</v>
      </c>
      <c r="K33" s="235"/>
      <c r="L33" s="235"/>
      <c r="M33" s="235"/>
      <c r="N33" s="235"/>
      <c r="O33" s="463"/>
      <c r="P33" s="235"/>
    </row>
    <row r="34" spans="2:19" s="114" customFormat="1">
      <c r="B34" s="243">
        <f t="shared" si="1"/>
        <v>30</v>
      </c>
      <c r="C34" s="290" t="s">
        <v>748</v>
      </c>
      <c r="D34" s="290" t="s">
        <v>749</v>
      </c>
      <c r="E34" s="243" t="s">
        <v>696</v>
      </c>
      <c r="F34" s="243">
        <f>397*10</f>
        <v>3970</v>
      </c>
      <c r="G34" s="265">
        <f>88.28/10</f>
        <v>8.8279999999999994</v>
      </c>
      <c r="H34" s="265">
        <f>88.28/10</f>
        <v>8.8279999999999994</v>
      </c>
      <c r="I34" s="265"/>
      <c r="J34" s="276">
        <f t="shared" si="0"/>
        <v>35047.159999999996</v>
      </c>
      <c r="K34" s="235"/>
      <c r="L34" s="235"/>
      <c r="M34" s="235"/>
      <c r="N34" s="235"/>
      <c r="O34" s="463"/>
      <c r="P34" s="235"/>
      <c r="Q34" s="640"/>
      <c r="S34" s="251"/>
    </row>
    <row r="35" spans="2:19">
      <c r="B35" s="243">
        <f t="shared" si="1"/>
        <v>31</v>
      </c>
      <c r="C35" s="290" t="s">
        <v>750</v>
      </c>
      <c r="D35" s="290" t="s">
        <v>751</v>
      </c>
      <c r="E35" s="243" t="s">
        <v>696</v>
      </c>
      <c r="F35" s="243">
        <f>365*10</f>
        <v>3650</v>
      </c>
      <c r="G35" s="265">
        <f>52.97/10</f>
        <v>5.2969999999999997</v>
      </c>
      <c r="H35" s="265">
        <f>52.97/10</f>
        <v>5.2969999999999997</v>
      </c>
      <c r="I35" s="265"/>
      <c r="J35" s="276">
        <f t="shared" si="0"/>
        <v>19334.05</v>
      </c>
      <c r="K35" s="235"/>
      <c r="L35" s="235"/>
      <c r="M35" s="235"/>
      <c r="N35" s="235"/>
      <c r="O35" s="463"/>
      <c r="P35" s="235"/>
    </row>
    <row r="36" spans="2:19">
      <c r="B36" s="243">
        <f t="shared" si="1"/>
        <v>32</v>
      </c>
      <c r="C36" s="290" t="s">
        <v>752</v>
      </c>
      <c r="D36" s="290" t="s">
        <v>753</v>
      </c>
      <c r="E36" s="243" t="s">
        <v>696</v>
      </c>
      <c r="F36" s="243">
        <v>15</v>
      </c>
      <c r="G36" s="265">
        <v>73.92</v>
      </c>
      <c r="H36" s="265">
        <v>73.92</v>
      </c>
      <c r="I36" s="265"/>
      <c r="J36" s="276">
        <f t="shared" si="0"/>
        <v>1108.8</v>
      </c>
      <c r="K36" s="235"/>
      <c r="L36" s="235"/>
      <c r="M36" s="235"/>
      <c r="N36" s="235"/>
      <c r="O36" s="463"/>
      <c r="P36" s="235"/>
    </row>
    <row r="37" spans="2:19">
      <c r="B37" s="243">
        <f t="shared" si="1"/>
        <v>33</v>
      </c>
      <c r="C37" s="290" t="s">
        <v>754</v>
      </c>
      <c r="D37" s="290" t="s">
        <v>755</v>
      </c>
      <c r="E37" s="243" t="s">
        <v>696</v>
      </c>
      <c r="F37" s="243">
        <v>30</v>
      </c>
      <c r="G37" s="265">
        <v>629.70000000000005</v>
      </c>
      <c r="H37" s="265">
        <v>629.70000000000005</v>
      </c>
      <c r="I37" s="265"/>
      <c r="J37" s="276">
        <f t="shared" si="0"/>
        <v>18891</v>
      </c>
      <c r="K37" s="235"/>
      <c r="L37" s="235"/>
      <c r="M37" s="235"/>
      <c r="N37" s="235"/>
      <c r="O37" s="463"/>
      <c r="P37" s="235"/>
    </row>
    <row r="38" spans="2:19">
      <c r="B38" s="243">
        <f t="shared" si="1"/>
        <v>34</v>
      </c>
      <c r="C38" s="290" t="s">
        <v>756</v>
      </c>
      <c r="D38" s="290" t="s">
        <v>757</v>
      </c>
      <c r="E38" s="243" t="s">
        <v>696</v>
      </c>
      <c r="F38" s="243">
        <f>17*10</f>
        <v>170</v>
      </c>
      <c r="G38" s="265">
        <f>372.29/10</f>
        <v>37.228999999999999</v>
      </c>
      <c r="H38" s="265">
        <f>372.29/10</f>
        <v>37.228999999999999</v>
      </c>
      <c r="I38" s="265"/>
      <c r="J38" s="276">
        <f t="shared" si="0"/>
        <v>6328.93</v>
      </c>
      <c r="K38" s="235"/>
      <c r="L38" s="235"/>
      <c r="M38" s="235"/>
      <c r="N38" s="235"/>
      <c r="O38" s="463"/>
      <c r="P38" s="235"/>
    </row>
    <row r="39" spans="2:19">
      <c r="B39" s="243">
        <f t="shared" si="1"/>
        <v>35</v>
      </c>
      <c r="C39" s="290" t="s">
        <v>758</v>
      </c>
      <c r="D39" s="290" t="s">
        <v>759</v>
      </c>
      <c r="E39" s="243" t="s">
        <v>696</v>
      </c>
      <c r="F39" s="243">
        <f>226*5</f>
        <v>1130</v>
      </c>
      <c r="G39" s="265">
        <f>35.55/5</f>
        <v>7.1099999999999994</v>
      </c>
      <c r="H39" s="265">
        <f>35.55/5</f>
        <v>7.1099999999999994</v>
      </c>
      <c r="I39" s="265"/>
      <c r="J39" s="276">
        <f t="shared" si="0"/>
        <v>8034.2999999999993</v>
      </c>
      <c r="K39" s="235"/>
      <c r="L39" s="235"/>
      <c r="M39" s="235"/>
      <c r="N39" s="235"/>
      <c r="O39" s="463"/>
      <c r="P39" s="235"/>
    </row>
    <row r="40" spans="2:19">
      <c r="B40" s="243">
        <f t="shared" si="1"/>
        <v>36</v>
      </c>
      <c r="C40" s="290" t="s">
        <v>760</v>
      </c>
      <c r="D40" s="290" t="s">
        <v>761</v>
      </c>
      <c r="E40" s="243" t="s">
        <v>696</v>
      </c>
      <c r="F40" s="243">
        <v>52</v>
      </c>
      <c r="G40" s="265">
        <v>441.89</v>
      </c>
      <c r="H40" s="265">
        <v>441.89</v>
      </c>
      <c r="I40" s="265"/>
      <c r="J40" s="276">
        <f t="shared" si="0"/>
        <v>22978.28</v>
      </c>
      <c r="K40" s="235"/>
      <c r="L40" s="235"/>
      <c r="M40" s="235"/>
      <c r="N40" s="235"/>
      <c r="O40" s="463"/>
      <c r="P40" s="235"/>
    </row>
    <row r="41" spans="2:19">
      <c r="B41" s="243">
        <f t="shared" si="1"/>
        <v>37</v>
      </c>
      <c r="C41" s="290" t="s">
        <v>762</v>
      </c>
      <c r="D41" s="290" t="s">
        <v>763</v>
      </c>
      <c r="E41" s="243" t="s">
        <v>696</v>
      </c>
      <c r="F41" s="243">
        <v>20</v>
      </c>
      <c r="G41" s="265">
        <v>548.48</v>
      </c>
      <c r="H41" s="265">
        <v>548.48</v>
      </c>
      <c r="I41" s="265"/>
      <c r="J41" s="276">
        <f t="shared" si="0"/>
        <v>10969.6</v>
      </c>
      <c r="K41" s="235"/>
      <c r="L41" s="235"/>
      <c r="M41" s="235"/>
      <c r="N41" s="235"/>
      <c r="O41" s="463"/>
      <c r="P41" s="235"/>
    </row>
    <row r="42" spans="2:19">
      <c r="B42" s="243">
        <f t="shared" si="1"/>
        <v>38</v>
      </c>
      <c r="C42" s="290" t="s">
        <v>764</v>
      </c>
      <c r="D42" s="290" t="s">
        <v>765</v>
      </c>
      <c r="E42" s="243" t="s">
        <v>696</v>
      </c>
      <c r="F42" s="243">
        <v>10</v>
      </c>
      <c r="G42" s="265">
        <v>52.97</v>
      </c>
      <c r="H42" s="265">
        <v>52.97</v>
      </c>
      <c r="I42" s="265"/>
      <c r="J42" s="276">
        <f t="shared" si="0"/>
        <v>529.70000000000005</v>
      </c>
      <c r="K42" s="235"/>
      <c r="L42" s="235"/>
      <c r="M42" s="235"/>
      <c r="N42" s="235"/>
      <c r="O42" s="463"/>
      <c r="P42" s="235"/>
    </row>
    <row r="43" spans="2:19">
      <c r="B43" s="243">
        <f t="shared" si="1"/>
        <v>39</v>
      </c>
      <c r="C43" s="290" t="s">
        <v>766</v>
      </c>
      <c r="D43" s="290" t="s">
        <v>767</v>
      </c>
      <c r="E43" s="243" t="s">
        <v>696</v>
      </c>
      <c r="F43" s="243">
        <f>134*10</f>
        <v>1340</v>
      </c>
      <c r="G43" s="265">
        <f>64.74/10</f>
        <v>6.4739999999999993</v>
      </c>
      <c r="H43" s="265">
        <f>64.74/10</f>
        <v>6.4739999999999993</v>
      </c>
      <c r="I43" s="265"/>
      <c r="J43" s="276">
        <f t="shared" si="0"/>
        <v>8675.16</v>
      </c>
      <c r="K43" s="235"/>
      <c r="L43" s="235"/>
      <c r="M43" s="235"/>
      <c r="N43" s="235"/>
      <c r="O43" s="463"/>
      <c r="P43" s="235"/>
    </row>
    <row r="44" spans="2:19">
      <c r="B44" s="243">
        <f t="shared" si="1"/>
        <v>40</v>
      </c>
      <c r="C44" s="290" t="s">
        <v>768</v>
      </c>
      <c r="D44" s="290" t="s">
        <v>769</v>
      </c>
      <c r="E44" s="243" t="s">
        <v>696</v>
      </c>
      <c r="F44" s="243">
        <v>60</v>
      </c>
      <c r="G44" s="265">
        <v>70.62</v>
      </c>
      <c r="H44" s="265">
        <v>70.62</v>
      </c>
      <c r="I44" s="265"/>
      <c r="J44" s="276">
        <f t="shared" si="0"/>
        <v>4237.2000000000007</v>
      </c>
      <c r="K44" s="235"/>
      <c r="L44" s="235"/>
      <c r="M44" s="235"/>
      <c r="N44" s="235"/>
      <c r="O44" s="463"/>
      <c r="P44" s="235"/>
    </row>
    <row r="45" spans="2:19">
      <c r="B45" s="243">
        <f t="shared" si="1"/>
        <v>41</v>
      </c>
      <c r="C45" s="290" t="s">
        <v>770</v>
      </c>
      <c r="D45" s="290" t="s">
        <v>771</v>
      </c>
      <c r="E45" s="243" t="s">
        <v>696</v>
      </c>
      <c r="F45" s="243">
        <v>20</v>
      </c>
      <c r="G45" s="265">
        <v>35.200000000000003</v>
      </c>
      <c r="H45" s="265">
        <v>35.200000000000003</v>
      </c>
      <c r="I45" s="265"/>
      <c r="J45" s="276">
        <f t="shared" si="0"/>
        <v>704</v>
      </c>
      <c r="K45" s="235"/>
      <c r="L45" s="235"/>
      <c r="M45" s="235"/>
      <c r="N45" s="235"/>
      <c r="O45" s="463"/>
      <c r="P45" s="235"/>
    </row>
    <row r="46" spans="2:19">
      <c r="B46" s="243">
        <f t="shared" si="1"/>
        <v>42</v>
      </c>
      <c r="C46" s="290" t="s">
        <v>772</v>
      </c>
      <c r="D46" s="290" t="s">
        <v>773</v>
      </c>
      <c r="E46" s="243" t="s">
        <v>696</v>
      </c>
      <c r="F46" s="243">
        <v>20</v>
      </c>
      <c r="G46" s="265">
        <v>133</v>
      </c>
      <c r="H46" s="265">
        <v>133</v>
      </c>
      <c r="I46" s="265"/>
      <c r="J46" s="276">
        <f t="shared" si="0"/>
        <v>2660</v>
      </c>
      <c r="K46" s="235"/>
      <c r="L46" s="235"/>
      <c r="M46" s="235"/>
      <c r="N46" s="235"/>
      <c r="O46" s="463"/>
      <c r="P46" s="235"/>
    </row>
    <row r="47" spans="2:19">
      <c r="B47" s="458">
        <f t="shared" si="1"/>
        <v>43</v>
      </c>
      <c r="C47" s="290" t="s">
        <v>774</v>
      </c>
      <c r="D47" s="290" t="s">
        <v>775</v>
      </c>
      <c r="E47" s="243" t="s">
        <v>696</v>
      </c>
      <c r="F47" s="243">
        <v>7</v>
      </c>
      <c r="G47" s="265">
        <v>217.73</v>
      </c>
      <c r="H47" s="265">
        <v>217.73</v>
      </c>
      <c r="I47" s="473"/>
      <c r="J47" s="67">
        <f t="shared" si="0"/>
        <v>1524.11</v>
      </c>
      <c r="K47" s="58"/>
      <c r="L47" s="58"/>
      <c r="M47" s="58"/>
      <c r="N47" s="58"/>
      <c r="O47" s="248"/>
      <c r="P47" s="58"/>
    </row>
    <row r="48" spans="2:19">
      <c r="B48" s="458">
        <f t="shared" si="1"/>
        <v>44</v>
      </c>
      <c r="C48" s="290" t="s">
        <v>776</v>
      </c>
      <c r="D48" s="290" t="s">
        <v>777</v>
      </c>
      <c r="E48" s="243" t="s">
        <v>696</v>
      </c>
      <c r="F48" s="243">
        <v>1</v>
      </c>
      <c r="G48" s="265">
        <v>56.43</v>
      </c>
      <c r="H48" s="265">
        <v>56.43</v>
      </c>
      <c r="I48" s="473"/>
      <c r="J48" s="67">
        <f t="shared" si="0"/>
        <v>56.43</v>
      </c>
      <c r="K48" s="58"/>
      <c r="L48" s="58"/>
      <c r="M48" s="58"/>
      <c r="N48" s="58"/>
      <c r="O48" s="248"/>
      <c r="P48" s="58"/>
    </row>
    <row r="49" spans="2:16">
      <c r="B49" s="458">
        <f t="shared" si="1"/>
        <v>45</v>
      </c>
      <c r="C49" s="290" t="s">
        <v>778</v>
      </c>
      <c r="D49" s="290" t="s">
        <v>779</v>
      </c>
      <c r="E49" s="243" t="s">
        <v>696</v>
      </c>
      <c r="F49" s="243">
        <v>20</v>
      </c>
      <c r="G49" s="265">
        <v>56.92</v>
      </c>
      <c r="H49" s="265">
        <v>56.92</v>
      </c>
      <c r="I49" s="473"/>
      <c r="J49" s="67">
        <f t="shared" si="0"/>
        <v>1138.4000000000001</v>
      </c>
      <c r="K49" s="58"/>
      <c r="L49" s="58"/>
      <c r="M49" s="58"/>
      <c r="N49" s="58"/>
      <c r="O49" s="248"/>
      <c r="P49" s="58"/>
    </row>
    <row r="50" spans="2:16">
      <c r="B50" s="458">
        <f t="shared" si="1"/>
        <v>46</v>
      </c>
      <c r="C50" s="290" t="s">
        <v>780</v>
      </c>
      <c r="D50" s="290" t="s">
        <v>781</v>
      </c>
      <c r="E50" s="243" t="s">
        <v>696</v>
      </c>
      <c r="F50" s="243">
        <v>10</v>
      </c>
      <c r="G50" s="265">
        <v>48.62</v>
      </c>
      <c r="H50" s="265">
        <v>48.62</v>
      </c>
      <c r="I50" s="473"/>
      <c r="J50" s="67">
        <f t="shared" si="0"/>
        <v>486.2</v>
      </c>
      <c r="K50" s="58"/>
      <c r="L50" s="58"/>
      <c r="M50" s="58"/>
      <c r="N50" s="58"/>
      <c r="O50" s="248"/>
      <c r="P50" s="58"/>
    </row>
    <row r="51" spans="2:16">
      <c r="B51" s="458">
        <f t="shared" si="1"/>
        <v>47</v>
      </c>
      <c r="C51" s="290" t="s">
        <v>782</v>
      </c>
      <c r="D51" s="290" t="s">
        <v>783</v>
      </c>
      <c r="E51" s="243" t="s">
        <v>696</v>
      </c>
      <c r="F51" s="243">
        <v>4</v>
      </c>
      <c r="G51" s="265">
        <v>4121.04</v>
      </c>
      <c r="H51" s="265">
        <v>4121.04</v>
      </c>
      <c r="I51" s="473"/>
      <c r="J51" s="67">
        <f t="shared" si="0"/>
        <v>16484.16</v>
      </c>
      <c r="K51" s="58"/>
      <c r="L51" s="58"/>
      <c r="M51" s="58"/>
      <c r="N51" s="58"/>
      <c r="O51" s="248"/>
      <c r="P51" s="58"/>
    </row>
    <row r="52" spans="2:16">
      <c r="B52" s="458">
        <f t="shared" si="1"/>
        <v>48</v>
      </c>
      <c r="C52" s="290" t="s">
        <v>784</v>
      </c>
      <c r="D52" s="290" t="s">
        <v>720</v>
      </c>
      <c r="E52" s="243" t="s">
        <v>696</v>
      </c>
      <c r="F52" s="243">
        <v>12</v>
      </c>
      <c r="G52" s="265">
        <v>74.77</v>
      </c>
      <c r="H52" s="265">
        <v>74.77</v>
      </c>
      <c r="I52" s="473"/>
      <c r="J52" s="67">
        <f t="shared" si="0"/>
        <v>897.24</v>
      </c>
      <c r="K52" s="58"/>
      <c r="L52" s="58"/>
      <c r="M52" s="58"/>
      <c r="N52" s="58"/>
      <c r="O52" s="248"/>
      <c r="P52" s="58"/>
    </row>
    <row r="53" spans="2:16">
      <c r="B53" s="458">
        <f t="shared" si="1"/>
        <v>49</v>
      </c>
      <c r="C53" s="290" t="s">
        <v>785</v>
      </c>
      <c r="D53" s="290" t="s">
        <v>786</v>
      </c>
      <c r="E53" s="243" t="s">
        <v>696</v>
      </c>
      <c r="F53" s="243">
        <v>10</v>
      </c>
      <c r="G53" s="265">
        <v>164.78</v>
      </c>
      <c r="H53" s="265">
        <v>164.78</v>
      </c>
      <c r="I53" s="473"/>
      <c r="J53" s="67">
        <f t="shared" si="0"/>
        <v>1647.8</v>
      </c>
      <c r="K53" s="58"/>
      <c r="L53" s="58"/>
      <c r="M53" s="58"/>
      <c r="N53" s="58"/>
      <c r="O53" s="248"/>
      <c r="P53" s="58"/>
    </row>
    <row r="54" spans="2:16">
      <c r="B54" s="458">
        <f t="shared" si="1"/>
        <v>50</v>
      </c>
      <c r="C54" s="290" t="s">
        <v>787</v>
      </c>
      <c r="D54" s="290" t="s">
        <v>788</v>
      </c>
      <c r="E54" s="243" t="s">
        <v>696</v>
      </c>
      <c r="F54" s="243">
        <f>240*10</f>
        <v>2400</v>
      </c>
      <c r="G54" s="265">
        <f>211.86/10</f>
        <v>21.186</v>
      </c>
      <c r="H54" s="265">
        <f>211.86/10</f>
        <v>21.186</v>
      </c>
      <c r="I54" s="473"/>
      <c r="J54" s="67">
        <f t="shared" si="0"/>
        <v>50846.400000000001</v>
      </c>
      <c r="K54" s="58"/>
      <c r="L54" s="58"/>
      <c r="M54" s="58"/>
      <c r="N54" s="58"/>
      <c r="O54" s="248"/>
      <c r="P54" s="58"/>
    </row>
    <row r="55" spans="2:16">
      <c r="B55" s="458">
        <f t="shared" si="1"/>
        <v>51</v>
      </c>
      <c r="C55" s="290" t="s">
        <v>789</v>
      </c>
      <c r="D55" s="290" t="s">
        <v>790</v>
      </c>
      <c r="E55" s="243" t="s">
        <v>696</v>
      </c>
      <c r="F55" s="243">
        <v>10</v>
      </c>
      <c r="G55" s="265">
        <v>44.73</v>
      </c>
      <c r="H55" s="265">
        <v>44.73</v>
      </c>
      <c r="I55" s="473"/>
      <c r="J55" s="67">
        <f t="shared" si="0"/>
        <v>447.29999999999995</v>
      </c>
      <c r="K55" s="58"/>
      <c r="L55" s="58"/>
      <c r="M55" s="58"/>
      <c r="N55" s="58"/>
      <c r="O55" s="248"/>
      <c r="P55" s="58"/>
    </row>
    <row r="56" spans="2:16">
      <c r="B56" s="458">
        <f t="shared" si="1"/>
        <v>52</v>
      </c>
      <c r="C56" s="290" t="s">
        <v>791</v>
      </c>
      <c r="D56" s="290" t="s">
        <v>792</v>
      </c>
      <c r="E56" s="243" t="s">
        <v>696</v>
      </c>
      <c r="F56" s="243">
        <v>10</v>
      </c>
      <c r="G56" s="265">
        <v>72.97</v>
      </c>
      <c r="H56" s="265">
        <v>72.97</v>
      </c>
      <c r="I56" s="473"/>
      <c r="J56" s="67">
        <f t="shared" si="0"/>
        <v>729.7</v>
      </c>
      <c r="K56" s="58"/>
      <c r="L56" s="58"/>
      <c r="M56" s="58"/>
      <c r="N56" s="58"/>
      <c r="O56" s="248"/>
      <c r="P56" s="58"/>
    </row>
    <row r="57" spans="2:16">
      <c r="B57" s="458">
        <f t="shared" si="1"/>
        <v>53</v>
      </c>
      <c r="C57" s="290" t="s">
        <v>793</v>
      </c>
      <c r="D57" s="290" t="s">
        <v>794</v>
      </c>
      <c r="E57" s="243" t="s">
        <v>696</v>
      </c>
      <c r="F57" s="243">
        <f>30*5</f>
        <v>150</v>
      </c>
      <c r="G57" s="265">
        <f>559.59/5</f>
        <v>111.91800000000001</v>
      </c>
      <c r="H57" s="265">
        <f>559.59/5</f>
        <v>111.91800000000001</v>
      </c>
      <c r="I57" s="473"/>
      <c r="J57" s="67">
        <f t="shared" si="0"/>
        <v>16787.7</v>
      </c>
      <c r="K57" s="58"/>
      <c r="L57" s="58"/>
      <c r="M57" s="58"/>
      <c r="N57" s="58"/>
      <c r="O57" s="248"/>
      <c r="P57" s="58"/>
    </row>
    <row r="58" spans="2:16">
      <c r="B58" s="458">
        <f t="shared" si="1"/>
        <v>54</v>
      </c>
      <c r="C58" s="290" t="s">
        <v>795</v>
      </c>
      <c r="D58" s="290" t="s">
        <v>796</v>
      </c>
      <c r="E58" s="243" t="s">
        <v>696</v>
      </c>
      <c r="F58" s="243">
        <f>40*5</f>
        <v>200</v>
      </c>
      <c r="G58" s="265">
        <f>137.5/5</f>
        <v>27.5</v>
      </c>
      <c r="H58" s="265">
        <f>137.5/5</f>
        <v>27.5</v>
      </c>
      <c r="I58" s="473"/>
      <c r="J58" s="67">
        <f t="shared" si="0"/>
        <v>5500</v>
      </c>
      <c r="K58" s="58"/>
      <c r="L58" s="58"/>
      <c r="M58" s="58"/>
      <c r="N58" s="58"/>
      <c r="O58" s="248"/>
      <c r="P58" s="58"/>
    </row>
    <row r="59" spans="2:16">
      <c r="B59" s="458">
        <f t="shared" si="1"/>
        <v>55</v>
      </c>
      <c r="C59" s="290" t="s">
        <v>797</v>
      </c>
      <c r="D59" s="290" t="s">
        <v>794</v>
      </c>
      <c r="E59" s="243" t="s">
        <v>696</v>
      </c>
      <c r="F59" s="243">
        <v>5</v>
      </c>
      <c r="G59" s="265">
        <v>973.48</v>
      </c>
      <c r="H59" s="265">
        <v>973.48</v>
      </c>
      <c r="I59" s="473"/>
      <c r="J59" s="67">
        <f t="shared" si="0"/>
        <v>4867.3999999999996</v>
      </c>
      <c r="K59" s="58"/>
      <c r="L59" s="58"/>
      <c r="M59" s="58"/>
      <c r="N59" s="58"/>
      <c r="O59" s="248"/>
      <c r="P59" s="58"/>
    </row>
    <row r="60" spans="2:16">
      <c r="B60" s="458">
        <f t="shared" si="1"/>
        <v>56</v>
      </c>
      <c r="C60" s="290" t="s">
        <v>798</v>
      </c>
      <c r="D60" s="290" t="s">
        <v>799</v>
      </c>
      <c r="E60" s="243" t="s">
        <v>696</v>
      </c>
      <c r="F60" s="243">
        <f>520*10</f>
        <v>5200</v>
      </c>
      <c r="G60" s="265">
        <f>17.38/10</f>
        <v>1.738</v>
      </c>
      <c r="H60" s="265">
        <f>17.38/10</f>
        <v>1.738</v>
      </c>
      <c r="I60" s="473"/>
      <c r="J60" s="67">
        <f t="shared" si="0"/>
        <v>9037.6</v>
      </c>
      <c r="K60" s="58"/>
      <c r="L60" s="58"/>
      <c r="M60" s="58"/>
      <c r="N60" s="58"/>
      <c r="O60" s="248"/>
      <c r="P60" s="58"/>
    </row>
    <row r="61" spans="2:16">
      <c r="B61" s="458">
        <f t="shared" si="1"/>
        <v>57</v>
      </c>
      <c r="C61" s="290" t="s">
        <v>800</v>
      </c>
      <c r="D61" s="290" t="s">
        <v>801</v>
      </c>
      <c r="E61" s="243" t="s">
        <v>696</v>
      </c>
      <c r="F61" s="243">
        <v>40</v>
      </c>
      <c r="G61" s="265">
        <v>123.59</v>
      </c>
      <c r="H61" s="265">
        <v>123.59</v>
      </c>
      <c r="I61" s="473"/>
      <c r="J61" s="67">
        <f t="shared" si="0"/>
        <v>4943.6000000000004</v>
      </c>
      <c r="K61" s="58"/>
      <c r="L61" s="58"/>
      <c r="M61" s="58"/>
      <c r="N61" s="58"/>
      <c r="O61" s="248"/>
      <c r="P61" s="58"/>
    </row>
    <row r="62" spans="2:16">
      <c r="B62" s="458">
        <f t="shared" si="1"/>
        <v>58</v>
      </c>
      <c r="C62" s="290" t="s">
        <v>802</v>
      </c>
      <c r="D62" s="290" t="s">
        <v>803</v>
      </c>
      <c r="E62" s="243" t="s">
        <v>696</v>
      </c>
      <c r="F62" s="243">
        <v>22</v>
      </c>
      <c r="G62" s="265">
        <v>29.43</v>
      </c>
      <c r="H62" s="265">
        <v>29.43</v>
      </c>
      <c r="I62" s="473"/>
      <c r="J62" s="67">
        <f t="shared" si="0"/>
        <v>647.46</v>
      </c>
      <c r="K62" s="58"/>
      <c r="L62" s="58"/>
      <c r="M62" s="58"/>
      <c r="N62" s="58"/>
      <c r="O62" s="248"/>
      <c r="P62" s="58"/>
    </row>
    <row r="63" spans="2:16">
      <c r="B63" s="458">
        <f t="shared" si="1"/>
        <v>59</v>
      </c>
      <c r="C63" s="290" t="s">
        <v>804</v>
      </c>
      <c r="D63" s="290" t="s">
        <v>805</v>
      </c>
      <c r="E63" s="243" t="s">
        <v>1924</v>
      </c>
      <c r="F63" s="243">
        <v>100</v>
      </c>
      <c r="G63" s="265">
        <v>292.22000000000003</v>
      </c>
      <c r="H63" s="265">
        <v>292.22000000000003</v>
      </c>
      <c r="I63" s="473"/>
      <c r="J63" s="67">
        <f t="shared" si="0"/>
        <v>29222.000000000004</v>
      </c>
      <c r="K63" s="58"/>
      <c r="L63" s="58"/>
      <c r="M63" s="58"/>
      <c r="N63" s="58"/>
      <c r="O63" s="248"/>
      <c r="P63" s="58"/>
    </row>
    <row r="64" spans="2:16">
      <c r="B64" s="458">
        <f t="shared" si="1"/>
        <v>60</v>
      </c>
      <c r="C64" s="290" t="s">
        <v>806</v>
      </c>
      <c r="D64" s="290" t="s">
        <v>807</v>
      </c>
      <c r="E64" s="243" t="s">
        <v>696</v>
      </c>
      <c r="F64" s="243">
        <f>144*10</f>
        <v>1440</v>
      </c>
      <c r="G64" s="265">
        <f>47.63/10</f>
        <v>4.7629999999999999</v>
      </c>
      <c r="H64" s="265">
        <f>47.63/10</f>
        <v>4.7629999999999999</v>
      </c>
      <c r="I64" s="473"/>
      <c r="J64" s="67">
        <f t="shared" si="0"/>
        <v>6858.72</v>
      </c>
      <c r="K64" s="58"/>
      <c r="L64" s="58"/>
      <c r="M64" s="58"/>
      <c r="N64" s="58"/>
      <c r="O64" s="248"/>
      <c r="P64" s="58"/>
    </row>
    <row r="65" spans="2:16">
      <c r="B65" s="458">
        <f t="shared" si="1"/>
        <v>61</v>
      </c>
      <c r="C65" s="290" t="s">
        <v>808</v>
      </c>
      <c r="D65" s="290" t="s">
        <v>809</v>
      </c>
      <c r="E65" s="243" t="s">
        <v>696</v>
      </c>
      <c r="F65" s="243">
        <v>5</v>
      </c>
      <c r="G65" s="265">
        <v>204.6</v>
      </c>
      <c r="H65" s="265">
        <v>204.6</v>
      </c>
      <c r="I65" s="473"/>
      <c r="J65" s="67">
        <f t="shared" si="0"/>
        <v>1023</v>
      </c>
      <c r="K65" s="58"/>
      <c r="L65" s="58"/>
      <c r="M65" s="58"/>
      <c r="N65" s="58"/>
      <c r="O65" s="248"/>
      <c r="P65" s="58"/>
    </row>
    <row r="66" spans="2:16">
      <c r="B66" s="458">
        <f t="shared" si="1"/>
        <v>62</v>
      </c>
      <c r="C66" s="290" t="s">
        <v>810</v>
      </c>
      <c r="D66" s="290" t="s">
        <v>811</v>
      </c>
      <c r="E66" s="243" t="s">
        <v>696</v>
      </c>
      <c r="F66" s="243">
        <v>10</v>
      </c>
      <c r="G66" s="265">
        <v>89.64</v>
      </c>
      <c r="H66" s="265">
        <v>89.64</v>
      </c>
      <c r="I66" s="473"/>
      <c r="J66" s="67">
        <f t="shared" si="0"/>
        <v>896.4</v>
      </c>
      <c r="K66" s="58"/>
      <c r="L66" s="58"/>
      <c r="M66" s="58"/>
      <c r="N66" s="58"/>
      <c r="O66" s="248"/>
      <c r="P66" s="58"/>
    </row>
    <row r="67" spans="2:16">
      <c r="B67" s="458">
        <f t="shared" si="1"/>
        <v>63</v>
      </c>
      <c r="C67" s="290" t="s">
        <v>812</v>
      </c>
      <c r="D67" s="290" t="s">
        <v>813</v>
      </c>
      <c r="E67" s="243" t="s">
        <v>696</v>
      </c>
      <c r="F67" s="243">
        <v>2</v>
      </c>
      <c r="G67" s="265">
        <v>105.22</v>
      </c>
      <c r="H67" s="265">
        <v>105.22</v>
      </c>
      <c r="I67" s="473"/>
      <c r="J67" s="67">
        <f t="shared" si="0"/>
        <v>210.44</v>
      </c>
      <c r="K67" s="58"/>
      <c r="L67" s="58"/>
      <c r="M67" s="58"/>
      <c r="N67" s="58"/>
      <c r="O67" s="248"/>
      <c r="P67" s="58"/>
    </row>
    <row r="68" spans="2:16">
      <c r="B68" s="458">
        <f t="shared" si="1"/>
        <v>64</v>
      </c>
      <c r="C68" s="290" t="s">
        <v>814</v>
      </c>
      <c r="D68" s="290" t="s">
        <v>815</v>
      </c>
      <c r="E68" s="243" t="s">
        <v>696</v>
      </c>
      <c r="F68" s="243">
        <v>29</v>
      </c>
      <c r="G68" s="265">
        <v>135.36000000000001</v>
      </c>
      <c r="H68" s="265">
        <v>135.36000000000001</v>
      </c>
      <c r="I68" s="473"/>
      <c r="J68" s="67">
        <f t="shared" si="0"/>
        <v>3925.4400000000005</v>
      </c>
      <c r="K68" s="58"/>
      <c r="L68" s="58"/>
      <c r="M68" s="58"/>
      <c r="N68" s="58"/>
      <c r="O68" s="248"/>
      <c r="P68" s="58"/>
    </row>
    <row r="69" spans="2:16">
      <c r="B69" s="458">
        <f t="shared" si="1"/>
        <v>65</v>
      </c>
      <c r="C69" s="290" t="s">
        <v>816</v>
      </c>
      <c r="D69" s="290" t="s">
        <v>817</v>
      </c>
      <c r="E69" s="243" t="s">
        <v>696</v>
      </c>
      <c r="F69" s="243">
        <v>5</v>
      </c>
      <c r="G69" s="265">
        <v>88.28</v>
      </c>
      <c r="H69" s="265">
        <v>88.28</v>
      </c>
      <c r="I69" s="473"/>
      <c r="J69" s="67">
        <f t="shared" si="0"/>
        <v>441.4</v>
      </c>
      <c r="K69" s="58"/>
      <c r="L69" s="58"/>
      <c r="M69" s="58"/>
      <c r="N69" s="58"/>
      <c r="O69" s="248"/>
      <c r="P69" s="58"/>
    </row>
    <row r="70" spans="2:16">
      <c r="B70" s="458">
        <f t="shared" si="1"/>
        <v>66</v>
      </c>
      <c r="C70" s="290" t="s">
        <v>818</v>
      </c>
      <c r="D70" s="290" t="s">
        <v>819</v>
      </c>
      <c r="E70" s="243" t="s">
        <v>696</v>
      </c>
      <c r="F70" s="243">
        <v>14</v>
      </c>
      <c r="G70" s="265">
        <v>91.81</v>
      </c>
      <c r="H70" s="265">
        <v>91.81</v>
      </c>
      <c r="I70" s="473"/>
      <c r="J70" s="67">
        <f t="shared" ref="J70:J115" si="2">H70*F70</f>
        <v>1285.3400000000001</v>
      </c>
      <c r="K70" s="58"/>
      <c r="L70" s="58"/>
      <c r="M70" s="58"/>
      <c r="N70" s="58"/>
      <c r="O70" s="248"/>
      <c r="P70" s="58"/>
    </row>
    <row r="71" spans="2:16">
      <c r="B71" s="458">
        <f t="shared" ref="B71:B115" si="3">1+B70</f>
        <v>67</v>
      </c>
      <c r="C71" s="290" t="s">
        <v>820</v>
      </c>
      <c r="D71" s="290" t="s">
        <v>821</v>
      </c>
      <c r="E71" s="243" t="s">
        <v>696</v>
      </c>
      <c r="F71" s="243">
        <v>10</v>
      </c>
      <c r="G71" s="265">
        <v>173.02</v>
      </c>
      <c r="H71" s="265">
        <v>173.02</v>
      </c>
      <c r="I71" s="473"/>
      <c r="J71" s="67">
        <f t="shared" si="2"/>
        <v>1730.2</v>
      </c>
      <c r="K71" s="58"/>
      <c r="L71" s="58"/>
      <c r="M71" s="58"/>
      <c r="N71" s="58"/>
      <c r="O71" s="248"/>
      <c r="P71" s="58"/>
    </row>
    <row r="72" spans="2:16">
      <c r="B72" s="458">
        <f t="shared" si="3"/>
        <v>68</v>
      </c>
      <c r="C72" s="290" t="s">
        <v>822</v>
      </c>
      <c r="D72" s="290" t="s">
        <v>823</v>
      </c>
      <c r="E72" s="243" t="s">
        <v>696</v>
      </c>
      <c r="F72" s="243">
        <v>50</v>
      </c>
      <c r="G72" s="265">
        <v>30.72</v>
      </c>
      <c r="H72" s="265">
        <v>30.72</v>
      </c>
      <c r="I72" s="473"/>
      <c r="J72" s="67">
        <f t="shared" si="2"/>
        <v>1536</v>
      </c>
      <c r="K72" s="58"/>
      <c r="L72" s="58"/>
      <c r="M72" s="58"/>
      <c r="N72" s="58"/>
      <c r="O72" s="248"/>
      <c r="P72" s="58"/>
    </row>
    <row r="73" spans="2:16">
      <c r="B73" s="458">
        <f t="shared" si="3"/>
        <v>69</v>
      </c>
      <c r="C73" s="290" t="s">
        <v>824</v>
      </c>
      <c r="D73" s="290" t="s">
        <v>823</v>
      </c>
      <c r="E73" s="243" t="s">
        <v>696</v>
      </c>
      <c r="F73" s="243">
        <v>20</v>
      </c>
      <c r="G73" s="265">
        <v>67.09</v>
      </c>
      <c r="H73" s="265">
        <v>67.09</v>
      </c>
      <c r="I73" s="473"/>
      <c r="J73" s="67">
        <f t="shared" si="2"/>
        <v>1341.8000000000002</v>
      </c>
      <c r="K73" s="58"/>
      <c r="L73" s="58"/>
      <c r="M73" s="58"/>
      <c r="N73" s="58"/>
      <c r="O73" s="248"/>
      <c r="P73" s="58"/>
    </row>
    <row r="74" spans="2:16">
      <c r="B74" s="458">
        <f t="shared" si="3"/>
        <v>70</v>
      </c>
      <c r="C74" s="290" t="s">
        <v>825</v>
      </c>
      <c r="D74" s="290" t="s">
        <v>826</v>
      </c>
      <c r="E74" s="243" t="s">
        <v>696</v>
      </c>
      <c r="F74" s="243">
        <v>100</v>
      </c>
      <c r="G74" s="265">
        <v>66.03</v>
      </c>
      <c r="H74" s="265">
        <v>66.03</v>
      </c>
      <c r="I74" s="473"/>
      <c r="J74" s="67">
        <f t="shared" si="2"/>
        <v>6603</v>
      </c>
      <c r="K74" s="58"/>
      <c r="L74" s="58"/>
      <c r="M74" s="58"/>
      <c r="N74" s="58"/>
      <c r="O74" s="248"/>
      <c r="P74" s="58"/>
    </row>
    <row r="75" spans="2:16">
      <c r="B75" s="458">
        <f t="shared" si="3"/>
        <v>71</v>
      </c>
      <c r="C75" s="290" t="s">
        <v>827</v>
      </c>
      <c r="D75" s="290" t="s">
        <v>828</v>
      </c>
      <c r="E75" s="243" t="s">
        <v>696</v>
      </c>
      <c r="F75" s="243">
        <f>27*30</f>
        <v>810</v>
      </c>
      <c r="G75" s="265">
        <f>194.21/30</f>
        <v>6.4736666666666673</v>
      </c>
      <c r="H75" s="265">
        <f>194.21/30</f>
        <v>6.4736666666666673</v>
      </c>
      <c r="I75" s="473"/>
      <c r="J75" s="67">
        <f t="shared" si="2"/>
        <v>5243.670000000001</v>
      </c>
      <c r="K75" s="58"/>
      <c r="L75" s="58"/>
      <c r="M75" s="58"/>
      <c r="N75" s="58"/>
      <c r="O75" s="248"/>
      <c r="P75" s="58"/>
    </row>
    <row r="76" spans="2:16">
      <c r="B76" s="458">
        <f t="shared" si="3"/>
        <v>72</v>
      </c>
      <c r="C76" s="290" t="s">
        <v>829</v>
      </c>
      <c r="D76" s="290" t="s">
        <v>828</v>
      </c>
      <c r="E76" s="243" t="s">
        <v>696</v>
      </c>
      <c r="F76" s="243">
        <v>20</v>
      </c>
      <c r="G76" s="265">
        <v>38.5</v>
      </c>
      <c r="H76" s="265">
        <v>38.5</v>
      </c>
      <c r="I76" s="473"/>
      <c r="J76" s="67">
        <f t="shared" si="2"/>
        <v>770</v>
      </c>
      <c r="K76" s="58"/>
      <c r="L76" s="58"/>
      <c r="M76" s="58"/>
      <c r="N76" s="58"/>
      <c r="O76" s="248"/>
      <c r="P76" s="58"/>
    </row>
    <row r="77" spans="2:16">
      <c r="B77" s="458">
        <f t="shared" si="3"/>
        <v>73</v>
      </c>
      <c r="C77" s="290" t="s">
        <v>830</v>
      </c>
      <c r="D77" s="290" t="s">
        <v>828</v>
      </c>
      <c r="E77" s="243" t="s">
        <v>1924</v>
      </c>
      <c r="F77" s="243">
        <v>500</v>
      </c>
      <c r="G77" s="265">
        <v>107.8</v>
      </c>
      <c r="H77" s="265">
        <v>107.8</v>
      </c>
      <c r="I77" s="473"/>
      <c r="J77" s="67">
        <f t="shared" si="2"/>
        <v>53900</v>
      </c>
      <c r="K77" s="58"/>
      <c r="L77" s="58"/>
      <c r="M77" s="58"/>
      <c r="N77" s="58"/>
      <c r="O77" s="248"/>
      <c r="P77" s="58"/>
    </row>
    <row r="78" spans="2:16">
      <c r="B78" s="458">
        <f t="shared" si="3"/>
        <v>74</v>
      </c>
      <c r="C78" s="290" t="s">
        <v>831</v>
      </c>
      <c r="D78" s="290" t="s">
        <v>832</v>
      </c>
      <c r="E78" s="243" t="s">
        <v>696</v>
      </c>
      <c r="F78" s="243">
        <f>10*5</f>
        <v>50</v>
      </c>
      <c r="G78" s="265">
        <f>165.81/5</f>
        <v>33.161999999999999</v>
      </c>
      <c r="H78" s="265">
        <f>165.81/5</f>
        <v>33.161999999999999</v>
      </c>
      <c r="I78" s="473"/>
      <c r="J78" s="67">
        <f t="shared" si="2"/>
        <v>1658.1</v>
      </c>
      <c r="K78" s="58"/>
      <c r="L78" s="58"/>
      <c r="M78" s="58"/>
      <c r="N78" s="58"/>
      <c r="O78" s="248"/>
      <c r="P78" s="58"/>
    </row>
    <row r="79" spans="2:16">
      <c r="B79" s="458">
        <f t="shared" si="3"/>
        <v>75</v>
      </c>
      <c r="C79" s="290" t="s">
        <v>833</v>
      </c>
      <c r="D79" s="290" t="s">
        <v>832</v>
      </c>
      <c r="E79" s="243" t="s">
        <v>696</v>
      </c>
      <c r="F79" s="243">
        <v>40</v>
      </c>
      <c r="G79" s="265">
        <v>298.43</v>
      </c>
      <c r="H79" s="265">
        <v>298.43</v>
      </c>
      <c r="I79" s="473"/>
      <c r="J79" s="67">
        <f t="shared" si="2"/>
        <v>11937.2</v>
      </c>
      <c r="K79" s="58"/>
      <c r="L79" s="58"/>
      <c r="M79" s="58"/>
      <c r="N79" s="58"/>
      <c r="O79" s="248"/>
      <c r="P79" s="58"/>
    </row>
    <row r="80" spans="2:16">
      <c r="B80" s="458">
        <f t="shared" si="3"/>
        <v>76</v>
      </c>
      <c r="C80" s="290" t="s">
        <v>834</v>
      </c>
      <c r="D80" s="290" t="s">
        <v>835</v>
      </c>
      <c r="E80" s="243" t="s">
        <v>1924</v>
      </c>
      <c r="F80" s="243">
        <v>60</v>
      </c>
      <c r="G80" s="265">
        <v>105.93</v>
      </c>
      <c r="H80" s="265">
        <v>105.93</v>
      </c>
      <c r="I80" s="473"/>
      <c r="J80" s="67">
        <f t="shared" si="2"/>
        <v>6355.8</v>
      </c>
      <c r="K80" s="58"/>
      <c r="L80" s="58"/>
      <c r="M80" s="58"/>
      <c r="N80" s="58"/>
      <c r="O80" s="248"/>
      <c r="P80" s="58"/>
    </row>
    <row r="81" spans="2:16">
      <c r="B81" s="458">
        <f t="shared" si="3"/>
        <v>77</v>
      </c>
      <c r="C81" s="290" t="s">
        <v>836</v>
      </c>
      <c r="D81" s="290" t="s">
        <v>837</v>
      </c>
      <c r="E81" s="243" t="s">
        <v>696</v>
      </c>
      <c r="F81" s="243">
        <f>135*10</f>
        <v>1350</v>
      </c>
      <c r="G81" s="265">
        <f>105.93/10</f>
        <v>10.593</v>
      </c>
      <c r="H81" s="265">
        <f>105.93/10</f>
        <v>10.593</v>
      </c>
      <c r="I81" s="473"/>
      <c r="J81" s="67">
        <f t="shared" si="2"/>
        <v>14300.55</v>
      </c>
      <c r="K81" s="58"/>
      <c r="L81" s="58"/>
      <c r="M81" s="58"/>
      <c r="N81" s="58"/>
      <c r="O81" s="248"/>
      <c r="P81" s="58"/>
    </row>
    <row r="82" spans="2:16">
      <c r="B82" s="458">
        <f t="shared" si="3"/>
        <v>78</v>
      </c>
      <c r="C82" s="290" t="s">
        <v>838</v>
      </c>
      <c r="D82" s="290" t="s">
        <v>839</v>
      </c>
      <c r="E82" s="243" t="s">
        <v>696</v>
      </c>
      <c r="F82" s="243">
        <v>500</v>
      </c>
      <c r="G82" s="265">
        <f>18.7/10</f>
        <v>1.8699999999999999</v>
      </c>
      <c r="H82" s="265">
        <f>18.7/10</f>
        <v>1.8699999999999999</v>
      </c>
      <c r="I82" s="473"/>
      <c r="J82" s="67">
        <f t="shared" si="2"/>
        <v>934.99999999999989</v>
      </c>
      <c r="K82" s="58"/>
      <c r="L82" s="58"/>
      <c r="M82" s="58"/>
      <c r="N82" s="58"/>
      <c r="O82" s="248"/>
      <c r="P82" s="58"/>
    </row>
    <row r="83" spans="2:16">
      <c r="B83" s="458">
        <f t="shared" si="3"/>
        <v>79</v>
      </c>
      <c r="C83" s="290" t="s">
        <v>840</v>
      </c>
      <c r="D83" s="290" t="s">
        <v>841</v>
      </c>
      <c r="E83" s="243" t="s">
        <v>696</v>
      </c>
      <c r="F83" s="243">
        <v>200</v>
      </c>
      <c r="G83" s="265">
        <f>76.51/10</f>
        <v>7.6510000000000007</v>
      </c>
      <c r="H83" s="265">
        <f>76.51/10</f>
        <v>7.6510000000000007</v>
      </c>
      <c r="I83" s="473"/>
      <c r="J83" s="67">
        <f t="shared" si="2"/>
        <v>1530.2</v>
      </c>
      <c r="K83" s="58"/>
      <c r="L83" s="58"/>
      <c r="M83" s="58"/>
      <c r="N83" s="58"/>
      <c r="O83" s="248"/>
      <c r="P83" s="58"/>
    </row>
    <row r="84" spans="2:16">
      <c r="B84" s="458">
        <f t="shared" si="3"/>
        <v>80</v>
      </c>
      <c r="C84" s="290" t="s">
        <v>842</v>
      </c>
      <c r="D84" s="290" t="s">
        <v>843</v>
      </c>
      <c r="E84" s="243" t="s">
        <v>696</v>
      </c>
      <c r="F84" s="243">
        <f>110*10</f>
        <v>1100</v>
      </c>
      <c r="G84" s="265">
        <f>72.97/10</f>
        <v>7.2969999999999997</v>
      </c>
      <c r="H84" s="265">
        <f>72.97/10</f>
        <v>7.2969999999999997</v>
      </c>
      <c r="I84" s="473"/>
      <c r="J84" s="67">
        <f t="shared" si="2"/>
        <v>8026.7</v>
      </c>
      <c r="K84" s="58"/>
      <c r="L84" s="58"/>
      <c r="M84" s="58"/>
      <c r="N84" s="58"/>
      <c r="O84" s="248"/>
      <c r="P84" s="58"/>
    </row>
    <row r="85" spans="2:16">
      <c r="B85" s="458">
        <f t="shared" si="3"/>
        <v>81</v>
      </c>
      <c r="C85" s="290" t="s">
        <v>844</v>
      </c>
      <c r="D85" s="290" t="s">
        <v>845</v>
      </c>
      <c r="E85" s="243" t="s">
        <v>696</v>
      </c>
      <c r="F85" s="243">
        <f>105*10</f>
        <v>1050</v>
      </c>
      <c r="G85" s="265">
        <f>129.47/10</f>
        <v>12.946999999999999</v>
      </c>
      <c r="H85" s="265">
        <f>129.47/10</f>
        <v>12.946999999999999</v>
      </c>
      <c r="I85" s="473"/>
      <c r="J85" s="67">
        <f t="shared" si="2"/>
        <v>13594.349999999999</v>
      </c>
      <c r="K85" s="58"/>
      <c r="L85" s="58"/>
      <c r="M85" s="58"/>
      <c r="N85" s="58"/>
      <c r="O85" s="248"/>
      <c r="P85" s="58"/>
    </row>
    <row r="86" spans="2:16">
      <c r="B86" s="458">
        <f t="shared" si="3"/>
        <v>82</v>
      </c>
      <c r="C86" s="290" t="s">
        <v>846</v>
      </c>
      <c r="D86" s="290" t="s">
        <v>847</v>
      </c>
      <c r="E86" s="243" t="s">
        <v>696</v>
      </c>
      <c r="F86" s="243">
        <v>20</v>
      </c>
      <c r="G86" s="265">
        <v>164.78</v>
      </c>
      <c r="H86" s="265">
        <v>164.78</v>
      </c>
      <c r="I86" s="473"/>
      <c r="J86" s="67">
        <f t="shared" si="2"/>
        <v>3295.6</v>
      </c>
      <c r="K86" s="58"/>
      <c r="L86" s="58"/>
      <c r="M86" s="58"/>
      <c r="N86" s="58"/>
      <c r="O86" s="248"/>
      <c r="P86" s="58"/>
    </row>
    <row r="87" spans="2:16">
      <c r="B87" s="243">
        <f t="shared" si="3"/>
        <v>83</v>
      </c>
      <c r="C87" s="290" t="s">
        <v>848</v>
      </c>
      <c r="D87" s="290" t="s">
        <v>849</v>
      </c>
      <c r="E87" s="243" t="s">
        <v>696</v>
      </c>
      <c r="F87" s="243">
        <f>172-172</f>
        <v>0</v>
      </c>
      <c r="G87" s="265">
        <v>188.32</v>
      </c>
      <c r="H87" s="265">
        <v>188.32</v>
      </c>
      <c r="I87" s="265"/>
      <c r="J87" s="276">
        <f t="shared" si="2"/>
        <v>0</v>
      </c>
      <c r="K87" s="235"/>
      <c r="L87" s="235"/>
      <c r="M87" s="235"/>
      <c r="N87" s="235"/>
      <c r="O87" s="463"/>
      <c r="P87" s="235"/>
    </row>
    <row r="88" spans="2:16">
      <c r="B88" s="243">
        <f t="shared" si="3"/>
        <v>84</v>
      </c>
      <c r="C88" s="290" t="s">
        <v>850</v>
      </c>
      <c r="D88" s="290" t="s">
        <v>849</v>
      </c>
      <c r="E88" s="243" t="s">
        <v>696</v>
      </c>
      <c r="F88" s="243">
        <v>86</v>
      </c>
      <c r="G88" s="265">
        <v>250.06</v>
      </c>
      <c r="H88" s="265">
        <v>250.06</v>
      </c>
      <c r="I88" s="265"/>
      <c r="J88" s="276">
        <f t="shared" si="2"/>
        <v>21505.16</v>
      </c>
      <c r="K88" s="235"/>
      <c r="L88" s="235"/>
      <c r="M88" s="235"/>
      <c r="N88" s="235"/>
      <c r="O88" s="463"/>
      <c r="P88" s="235"/>
    </row>
    <row r="89" spans="2:16">
      <c r="B89" s="243">
        <f t="shared" si="3"/>
        <v>85</v>
      </c>
      <c r="C89" s="290" t="s">
        <v>851</v>
      </c>
      <c r="D89" s="290" t="s">
        <v>852</v>
      </c>
      <c r="E89" s="243" t="s">
        <v>696</v>
      </c>
      <c r="F89" s="243">
        <f>30*5</f>
        <v>150</v>
      </c>
      <c r="G89" s="265">
        <f>72.66/5</f>
        <v>14.532</v>
      </c>
      <c r="H89" s="265">
        <f>72.66/5</f>
        <v>14.532</v>
      </c>
      <c r="I89" s="265"/>
      <c r="J89" s="276">
        <f t="shared" si="2"/>
        <v>2179.8000000000002</v>
      </c>
      <c r="K89" s="235"/>
      <c r="L89" s="235"/>
      <c r="M89" s="235"/>
      <c r="N89" s="235"/>
      <c r="O89" s="463"/>
      <c r="P89" s="235"/>
    </row>
    <row r="90" spans="2:16">
      <c r="B90" s="243">
        <f t="shared" si="3"/>
        <v>86</v>
      </c>
      <c r="C90" s="290" t="s">
        <v>853</v>
      </c>
      <c r="D90" s="290" t="s">
        <v>854</v>
      </c>
      <c r="E90" s="243" t="s">
        <v>696</v>
      </c>
      <c r="F90" s="243">
        <f>55*10</f>
        <v>550</v>
      </c>
      <c r="G90" s="265">
        <f>23.42/10</f>
        <v>2.3420000000000001</v>
      </c>
      <c r="H90" s="265">
        <f>23.42/10</f>
        <v>2.3420000000000001</v>
      </c>
      <c r="I90" s="265"/>
      <c r="J90" s="276">
        <f t="shared" si="2"/>
        <v>1288.1000000000001</v>
      </c>
      <c r="K90" s="235"/>
      <c r="L90" s="235"/>
      <c r="M90" s="235"/>
      <c r="N90" s="235"/>
      <c r="O90" s="463"/>
      <c r="P90" s="235"/>
    </row>
    <row r="91" spans="2:16">
      <c r="B91" s="243">
        <f t="shared" si="3"/>
        <v>87</v>
      </c>
      <c r="C91" s="290" t="s">
        <v>855</v>
      </c>
      <c r="D91" s="290" t="s">
        <v>856</v>
      </c>
      <c r="E91" s="243" t="s">
        <v>696</v>
      </c>
      <c r="F91" s="243">
        <v>30</v>
      </c>
      <c r="G91" s="265">
        <v>213.24</v>
      </c>
      <c r="H91" s="265">
        <v>213.24</v>
      </c>
      <c r="I91" s="265"/>
      <c r="J91" s="276">
        <f t="shared" si="2"/>
        <v>6397.2000000000007</v>
      </c>
      <c r="K91" s="235"/>
      <c r="L91" s="235"/>
      <c r="M91" s="235"/>
      <c r="N91" s="235"/>
      <c r="O91" s="463"/>
      <c r="P91" s="235"/>
    </row>
    <row r="92" spans="2:16">
      <c r="B92" s="243">
        <f t="shared" si="3"/>
        <v>88</v>
      </c>
      <c r="C92" s="290" t="s">
        <v>855</v>
      </c>
      <c r="D92" s="290" t="s">
        <v>856</v>
      </c>
      <c r="E92" s="243" t="s">
        <v>696</v>
      </c>
      <c r="F92" s="243">
        <f>120*5</f>
        <v>600</v>
      </c>
      <c r="G92" s="265">
        <f>213.24/5</f>
        <v>42.648000000000003</v>
      </c>
      <c r="H92" s="265">
        <f>213.24/5</f>
        <v>42.648000000000003</v>
      </c>
      <c r="I92" s="265"/>
      <c r="J92" s="276">
        <f t="shared" si="2"/>
        <v>25588.800000000003</v>
      </c>
      <c r="K92" s="235"/>
      <c r="L92" s="235"/>
      <c r="M92" s="235"/>
      <c r="N92" s="235"/>
      <c r="O92" s="463"/>
      <c r="P92" s="235"/>
    </row>
    <row r="93" spans="2:16">
      <c r="B93" s="243">
        <f t="shared" si="3"/>
        <v>89</v>
      </c>
      <c r="C93" s="290" t="s">
        <v>857</v>
      </c>
      <c r="D93" s="290" t="s">
        <v>856</v>
      </c>
      <c r="E93" s="243" t="s">
        <v>696</v>
      </c>
      <c r="F93" s="243">
        <v>100</v>
      </c>
      <c r="G93" s="265">
        <v>119.3</v>
      </c>
      <c r="H93" s="265">
        <v>119.3</v>
      </c>
      <c r="I93" s="265"/>
      <c r="J93" s="276">
        <f t="shared" si="2"/>
        <v>11930</v>
      </c>
      <c r="K93" s="235"/>
      <c r="L93" s="235"/>
      <c r="M93" s="235"/>
      <c r="N93" s="235"/>
      <c r="O93" s="463"/>
      <c r="P93" s="235"/>
    </row>
    <row r="94" spans="2:16">
      <c r="B94" s="243">
        <f t="shared" si="3"/>
        <v>90</v>
      </c>
      <c r="C94" s="290" t="s">
        <v>858</v>
      </c>
      <c r="D94" s="290" t="s">
        <v>859</v>
      </c>
      <c r="E94" s="243" t="s">
        <v>696</v>
      </c>
      <c r="F94" s="243">
        <v>200</v>
      </c>
      <c r="G94" s="265">
        <v>188.32</v>
      </c>
      <c r="H94" s="265">
        <v>188.32</v>
      </c>
      <c r="I94" s="265"/>
      <c r="J94" s="276">
        <f t="shared" si="2"/>
        <v>37664</v>
      </c>
      <c r="K94" s="235"/>
      <c r="L94" s="235"/>
      <c r="M94" s="235"/>
      <c r="N94" s="235"/>
      <c r="O94" s="463"/>
      <c r="P94" s="235"/>
    </row>
    <row r="95" spans="2:16">
      <c r="B95" s="243">
        <f t="shared" si="3"/>
        <v>91</v>
      </c>
      <c r="C95" s="290" t="s">
        <v>860</v>
      </c>
      <c r="D95" s="290" t="s">
        <v>861</v>
      </c>
      <c r="E95" s="243" t="s">
        <v>696</v>
      </c>
      <c r="F95" s="243">
        <v>40</v>
      </c>
      <c r="G95" s="265">
        <v>1788.65</v>
      </c>
      <c r="H95" s="265">
        <v>1788.65</v>
      </c>
      <c r="I95" s="265"/>
      <c r="J95" s="276">
        <f t="shared" si="2"/>
        <v>71546</v>
      </c>
      <c r="K95" s="235"/>
      <c r="L95" s="235"/>
      <c r="M95" s="235"/>
      <c r="N95" s="235"/>
      <c r="O95" s="463"/>
      <c r="P95" s="235"/>
    </row>
    <row r="96" spans="2:16">
      <c r="B96" s="243">
        <f t="shared" si="3"/>
        <v>92</v>
      </c>
      <c r="C96" s="290" t="s">
        <v>862</v>
      </c>
      <c r="D96" s="290" t="s">
        <v>492</v>
      </c>
      <c r="E96" s="243" t="s">
        <v>1924</v>
      </c>
      <c r="F96" s="243">
        <v>50</v>
      </c>
      <c r="G96" s="265">
        <v>75.06</v>
      </c>
      <c r="H96" s="265">
        <v>75.06</v>
      </c>
      <c r="I96" s="265"/>
      <c r="J96" s="276">
        <f t="shared" si="2"/>
        <v>3753</v>
      </c>
      <c r="K96" s="235"/>
      <c r="L96" s="235"/>
      <c r="M96" s="235"/>
      <c r="N96" s="235"/>
      <c r="O96" s="463"/>
      <c r="P96" s="235"/>
    </row>
    <row r="97" spans="2:16">
      <c r="B97" s="243">
        <f t="shared" si="3"/>
        <v>93</v>
      </c>
      <c r="C97" s="290" t="s">
        <v>863</v>
      </c>
      <c r="D97" s="290" t="s">
        <v>864</v>
      </c>
      <c r="E97" s="243" t="s">
        <v>696</v>
      </c>
      <c r="F97" s="243">
        <v>3</v>
      </c>
      <c r="G97" s="265">
        <v>70.62</v>
      </c>
      <c r="H97" s="265">
        <v>70.62</v>
      </c>
      <c r="I97" s="265"/>
      <c r="J97" s="276">
        <f t="shared" si="2"/>
        <v>211.86</v>
      </c>
      <c r="K97" s="235"/>
      <c r="L97" s="235"/>
      <c r="M97" s="235"/>
      <c r="N97" s="235"/>
      <c r="O97" s="463"/>
      <c r="P97" s="235"/>
    </row>
    <row r="98" spans="2:16">
      <c r="B98" s="243">
        <f t="shared" si="3"/>
        <v>94</v>
      </c>
      <c r="C98" s="290" t="s">
        <v>865</v>
      </c>
      <c r="D98" s="290" t="s">
        <v>866</v>
      </c>
      <c r="E98" s="243" t="s">
        <v>696</v>
      </c>
      <c r="F98" s="243">
        <v>20</v>
      </c>
      <c r="G98" s="265">
        <v>95.65</v>
      </c>
      <c r="H98" s="265">
        <v>95.65</v>
      </c>
      <c r="I98" s="265"/>
      <c r="J98" s="276">
        <f t="shared" si="2"/>
        <v>1913</v>
      </c>
      <c r="K98" s="235"/>
      <c r="L98" s="235"/>
      <c r="M98" s="235"/>
      <c r="N98" s="235"/>
      <c r="O98" s="463"/>
      <c r="P98" s="235"/>
    </row>
    <row r="99" spans="2:16">
      <c r="B99" s="243">
        <f t="shared" si="3"/>
        <v>95</v>
      </c>
      <c r="C99" s="290" t="s">
        <v>867</v>
      </c>
      <c r="D99" s="290" t="s">
        <v>868</v>
      </c>
      <c r="E99" s="243" t="s">
        <v>696</v>
      </c>
      <c r="F99" s="243">
        <f>20*5</f>
        <v>100</v>
      </c>
      <c r="G99" s="265">
        <f>191.85/5</f>
        <v>38.369999999999997</v>
      </c>
      <c r="H99" s="265">
        <f>191.85/5</f>
        <v>38.369999999999997</v>
      </c>
      <c r="I99" s="265"/>
      <c r="J99" s="276">
        <f t="shared" si="2"/>
        <v>3836.9999999999995</v>
      </c>
      <c r="K99" s="235"/>
      <c r="L99" s="235"/>
      <c r="M99" s="235"/>
      <c r="N99" s="235"/>
      <c r="O99" s="463"/>
      <c r="P99" s="235"/>
    </row>
    <row r="100" spans="2:16">
      <c r="B100" s="243">
        <f t="shared" si="3"/>
        <v>96</v>
      </c>
      <c r="C100" s="290" t="s">
        <v>869</v>
      </c>
      <c r="D100" s="290" t="s">
        <v>870</v>
      </c>
      <c r="E100" s="243" t="s">
        <v>696</v>
      </c>
      <c r="F100" s="243">
        <v>2</v>
      </c>
      <c r="G100" s="265">
        <v>16.18</v>
      </c>
      <c r="H100" s="265">
        <v>16.18</v>
      </c>
      <c r="I100" s="265"/>
      <c r="J100" s="276">
        <f t="shared" si="2"/>
        <v>32.36</v>
      </c>
      <c r="K100" s="235"/>
      <c r="L100" s="235"/>
      <c r="M100" s="235"/>
      <c r="N100" s="235"/>
      <c r="O100" s="463"/>
      <c r="P100" s="235"/>
    </row>
    <row r="101" spans="2:16">
      <c r="B101" s="243">
        <f t="shared" si="3"/>
        <v>97</v>
      </c>
      <c r="C101" s="290" t="s">
        <v>871</v>
      </c>
      <c r="D101" s="290" t="s">
        <v>872</v>
      </c>
      <c r="E101" s="243" t="s">
        <v>696</v>
      </c>
      <c r="F101" s="243">
        <v>10</v>
      </c>
      <c r="G101" s="265">
        <v>188.32</v>
      </c>
      <c r="H101" s="265">
        <v>188.32</v>
      </c>
      <c r="I101" s="265"/>
      <c r="J101" s="276">
        <f t="shared" si="2"/>
        <v>1883.1999999999998</v>
      </c>
      <c r="K101" s="235"/>
      <c r="L101" s="235"/>
      <c r="M101" s="235"/>
      <c r="N101" s="235"/>
      <c r="O101" s="463"/>
      <c r="P101" s="235"/>
    </row>
    <row r="102" spans="2:16">
      <c r="B102" s="243">
        <f t="shared" si="3"/>
        <v>98</v>
      </c>
      <c r="C102" s="290" t="s">
        <v>873</v>
      </c>
      <c r="D102" s="290" t="s">
        <v>872</v>
      </c>
      <c r="E102" s="243" t="s">
        <v>696</v>
      </c>
      <c r="F102" s="243">
        <v>8</v>
      </c>
      <c r="G102" s="265">
        <v>96.51</v>
      </c>
      <c r="H102" s="265">
        <v>96.51</v>
      </c>
      <c r="I102" s="265"/>
      <c r="J102" s="276">
        <f t="shared" si="2"/>
        <v>772.08</v>
      </c>
      <c r="K102" s="235"/>
      <c r="L102" s="235"/>
      <c r="M102" s="235"/>
      <c r="N102" s="235"/>
      <c r="O102" s="463"/>
      <c r="P102" s="235"/>
    </row>
    <row r="103" spans="2:16">
      <c r="B103" s="243">
        <f t="shared" si="3"/>
        <v>99</v>
      </c>
      <c r="C103" s="290" t="s">
        <v>874</v>
      </c>
      <c r="D103" s="290" t="s">
        <v>875</v>
      </c>
      <c r="E103" s="243" t="s">
        <v>696</v>
      </c>
      <c r="F103" s="243">
        <v>110</v>
      </c>
      <c r="G103" s="265">
        <v>55</v>
      </c>
      <c r="H103" s="265">
        <v>55</v>
      </c>
      <c r="I103" s="265"/>
      <c r="J103" s="276">
        <f t="shared" si="2"/>
        <v>6050</v>
      </c>
      <c r="K103" s="235"/>
      <c r="L103" s="235"/>
      <c r="M103" s="235"/>
      <c r="N103" s="235"/>
      <c r="O103" s="463"/>
      <c r="P103" s="235"/>
    </row>
    <row r="104" spans="2:16">
      <c r="B104" s="243">
        <f t="shared" si="3"/>
        <v>100</v>
      </c>
      <c r="C104" s="290" t="s">
        <v>876</v>
      </c>
      <c r="D104" s="290" t="s">
        <v>877</v>
      </c>
      <c r="E104" s="243" t="s">
        <v>1924</v>
      </c>
      <c r="F104" s="243">
        <v>80</v>
      </c>
      <c r="G104" s="265">
        <v>77.84</v>
      </c>
      <c r="H104" s="265">
        <v>77.84</v>
      </c>
      <c r="I104" s="265"/>
      <c r="J104" s="276">
        <f t="shared" si="2"/>
        <v>6227.2000000000007</v>
      </c>
      <c r="K104" s="235"/>
      <c r="L104" s="235"/>
      <c r="M104" s="235"/>
      <c r="N104" s="235"/>
      <c r="O104" s="463"/>
      <c r="P104" s="235"/>
    </row>
    <row r="105" spans="2:16">
      <c r="B105" s="243">
        <f t="shared" si="3"/>
        <v>101</v>
      </c>
      <c r="C105" s="290" t="s">
        <v>878</v>
      </c>
      <c r="D105" s="290" t="s">
        <v>1890</v>
      </c>
      <c r="E105" s="243" t="s">
        <v>696</v>
      </c>
      <c r="F105" s="243">
        <v>20</v>
      </c>
      <c r="G105" s="265">
        <v>297.77999999999997</v>
      </c>
      <c r="H105" s="265">
        <v>297.77999999999997</v>
      </c>
      <c r="I105" s="265"/>
      <c r="J105" s="276">
        <f t="shared" si="2"/>
        <v>5955.5999999999995</v>
      </c>
      <c r="K105" s="235"/>
      <c r="L105" s="235"/>
      <c r="M105" s="235"/>
      <c r="N105" s="235"/>
      <c r="O105" s="463"/>
      <c r="P105" s="235"/>
    </row>
    <row r="106" spans="2:16">
      <c r="B106" s="243">
        <f t="shared" si="3"/>
        <v>102</v>
      </c>
      <c r="C106" s="290" t="s">
        <v>879</v>
      </c>
      <c r="D106" s="290" t="s">
        <v>880</v>
      </c>
      <c r="E106" s="243" t="s">
        <v>696</v>
      </c>
      <c r="F106" s="243">
        <v>10</v>
      </c>
      <c r="G106" s="265">
        <v>205.98</v>
      </c>
      <c r="H106" s="265">
        <v>205.98</v>
      </c>
      <c r="I106" s="265"/>
      <c r="J106" s="276">
        <f t="shared" si="2"/>
        <v>2059.7999999999997</v>
      </c>
      <c r="K106" s="235"/>
      <c r="L106" s="235"/>
      <c r="M106" s="235"/>
      <c r="N106" s="235"/>
      <c r="O106" s="463"/>
      <c r="P106" s="235"/>
    </row>
    <row r="107" spans="2:16">
      <c r="B107" s="243">
        <f t="shared" si="3"/>
        <v>103</v>
      </c>
      <c r="C107" s="290" t="s">
        <v>881</v>
      </c>
      <c r="D107" s="290" t="s">
        <v>880</v>
      </c>
      <c r="E107" s="243" t="s">
        <v>696</v>
      </c>
      <c r="F107" s="243">
        <v>5</v>
      </c>
      <c r="G107" s="265">
        <v>180.08</v>
      </c>
      <c r="H107" s="265">
        <v>180.08</v>
      </c>
      <c r="I107" s="265"/>
      <c r="J107" s="276">
        <f t="shared" si="2"/>
        <v>900.40000000000009</v>
      </c>
      <c r="K107" s="235"/>
      <c r="L107" s="235"/>
      <c r="M107" s="235"/>
      <c r="N107" s="235"/>
      <c r="O107" s="463"/>
      <c r="P107" s="235"/>
    </row>
    <row r="108" spans="2:16">
      <c r="B108" s="243">
        <f t="shared" si="3"/>
        <v>104</v>
      </c>
      <c r="C108" s="290" t="s">
        <v>882</v>
      </c>
      <c r="D108" s="290" t="s">
        <v>883</v>
      </c>
      <c r="E108" s="243" t="s">
        <v>696</v>
      </c>
      <c r="F108" s="243">
        <v>4</v>
      </c>
      <c r="G108" s="265">
        <v>706.2</v>
      </c>
      <c r="H108" s="265">
        <v>706.2</v>
      </c>
      <c r="I108" s="265"/>
      <c r="J108" s="276">
        <f t="shared" si="2"/>
        <v>2824.8</v>
      </c>
      <c r="K108" s="235"/>
      <c r="L108" s="235"/>
      <c r="M108" s="235"/>
      <c r="N108" s="235"/>
      <c r="O108" s="463"/>
      <c r="P108" s="235"/>
    </row>
    <row r="109" spans="2:16">
      <c r="B109" s="243">
        <f t="shared" si="3"/>
        <v>105</v>
      </c>
      <c r="C109" s="290" t="s">
        <v>884</v>
      </c>
      <c r="D109" s="290" t="s">
        <v>885</v>
      </c>
      <c r="E109" s="243" t="s">
        <v>696</v>
      </c>
      <c r="F109" s="243">
        <v>35</v>
      </c>
      <c r="G109" s="265">
        <v>65.91</v>
      </c>
      <c r="H109" s="265">
        <v>65.91</v>
      </c>
      <c r="I109" s="265"/>
      <c r="J109" s="276">
        <f t="shared" si="2"/>
        <v>2306.85</v>
      </c>
      <c r="K109" s="235"/>
      <c r="L109" s="235"/>
      <c r="M109" s="235"/>
      <c r="N109" s="235"/>
      <c r="O109" s="463"/>
      <c r="P109" s="235"/>
    </row>
    <row r="110" spans="2:16">
      <c r="B110" s="243">
        <f t="shared" si="3"/>
        <v>106</v>
      </c>
      <c r="C110" s="290" t="s">
        <v>886</v>
      </c>
      <c r="D110" s="290" t="s">
        <v>835</v>
      </c>
      <c r="E110" s="243" t="s">
        <v>696</v>
      </c>
      <c r="F110" s="243">
        <v>20</v>
      </c>
      <c r="G110" s="265">
        <v>107.9</v>
      </c>
      <c r="H110" s="265">
        <v>107.9</v>
      </c>
      <c r="I110" s="265"/>
      <c r="J110" s="276">
        <f t="shared" si="2"/>
        <v>2158</v>
      </c>
      <c r="K110" s="235"/>
      <c r="L110" s="235"/>
      <c r="M110" s="235"/>
      <c r="N110" s="235"/>
      <c r="O110" s="463"/>
      <c r="P110" s="235"/>
    </row>
    <row r="111" spans="2:16">
      <c r="B111" s="243">
        <f t="shared" si="3"/>
        <v>107</v>
      </c>
      <c r="C111" s="290" t="s">
        <v>887</v>
      </c>
      <c r="D111" s="290" t="s">
        <v>888</v>
      </c>
      <c r="E111" s="243" t="s">
        <v>696</v>
      </c>
      <c r="F111" s="243">
        <v>51</v>
      </c>
      <c r="G111" s="265">
        <v>38.5</v>
      </c>
      <c r="H111" s="265">
        <v>38.5</v>
      </c>
      <c r="I111" s="265"/>
      <c r="J111" s="276">
        <f t="shared" si="2"/>
        <v>1963.5</v>
      </c>
      <c r="K111" s="235"/>
      <c r="L111" s="235"/>
      <c r="M111" s="235"/>
      <c r="N111" s="235"/>
      <c r="O111" s="463"/>
      <c r="P111" s="235"/>
    </row>
    <row r="112" spans="2:16">
      <c r="B112" s="243">
        <f t="shared" si="3"/>
        <v>108</v>
      </c>
      <c r="C112" s="290" t="s">
        <v>889</v>
      </c>
      <c r="D112" s="290" t="s">
        <v>890</v>
      </c>
      <c r="E112" s="243" t="s">
        <v>696</v>
      </c>
      <c r="F112" s="243">
        <v>8</v>
      </c>
      <c r="G112" s="265">
        <v>94.16</v>
      </c>
      <c r="H112" s="265">
        <v>94.16</v>
      </c>
      <c r="I112" s="265"/>
      <c r="J112" s="276">
        <f t="shared" si="2"/>
        <v>753.28</v>
      </c>
      <c r="K112" s="235"/>
      <c r="L112" s="235"/>
      <c r="M112" s="235"/>
      <c r="N112" s="235"/>
      <c r="O112" s="463"/>
      <c r="P112" s="235"/>
    </row>
    <row r="113" spans="2:16">
      <c r="B113" s="243">
        <f t="shared" si="3"/>
        <v>109</v>
      </c>
      <c r="C113" s="290" t="s">
        <v>891</v>
      </c>
      <c r="D113" s="290" t="s">
        <v>892</v>
      </c>
      <c r="E113" s="243" t="s">
        <v>1924</v>
      </c>
      <c r="F113" s="243">
        <v>1</v>
      </c>
      <c r="G113" s="265">
        <v>391</v>
      </c>
      <c r="H113" s="265">
        <v>391</v>
      </c>
      <c r="I113" s="265"/>
      <c r="J113" s="276">
        <f t="shared" si="2"/>
        <v>391</v>
      </c>
      <c r="K113" s="235"/>
      <c r="L113" s="235"/>
      <c r="M113" s="235"/>
      <c r="N113" s="235"/>
      <c r="O113" s="463"/>
      <c r="P113" s="235"/>
    </row>
    <row r="114" spans="2:16">
      <c r="B114" s="243">
        <f t="shared" si="3"/>
        <v>110</v>
      </c>
      <c r="C114" s="290" t="s">
        <v>893</v>
      </c>
      <c r="D114" s="290" t="s">
        <v>894</v>
      </c>
      <c r="E114" s="243" t="s">
        <v>696</v>
      </c>
      <c r="F114" s="243">
        <v>310</v>
      </c>
      <c r="G114" s="265">
        <v>43.2</v>
      </c>
      <c r="H114" s="265">
        <v>43.2</v>
      </c>
      <c r="I114" s="265"/>
      <c r="J114" s="276">
        <f t="shared" si="2"/>
        <v>13392</v>
      </c>
      <c r="K114" s="235"/>
      <c r="L114" s="235"/>
      <c r="M114" s="235"/>
      <c r="N114" s="235"/>
      <c r="O114" s="463"/>
      <c r="P114" s="235"/>
    </row>
    <row r="115" spans="2:16">
      <c r="B115" s="243">
        <f t="shared" si="3"/>
        <v>111</v>
      </c>
      <c r="C115" s="290" t="s">
        <v>895</v>
      </c>
      <c r="D115" s="290" t="s">
        <v>894</v>
      </c>
      <c r="E115" s="243" t="s">
        <v>696</v>
      </c>
      <c r="F115" s="243">
        <v>310</v>
      </c>
      <c r="G115" s="265">
        <v>34.020000000000003</v>
      </c>
      <c r="H115" s="265">
        <v>34.020000000000003</v>
      </c>
      <c r="I115" s="265"/>
      <c r="J115" s="276">
        <f t="shared" si="2"/>
        <v>10546.2</v>
      </c>
      <c r="K115" s="164"/>
      <c r="L115" s="235"/>
      <c r="M115" s="164"/>
      <c r="N115" s="164"/>
      <c r="O115" s="472"/>
      <c r="P115" s="164"/>
    </row>
    <row r="116" spans="2:16">
      <c r="B116" s="263"/>
      <c r="C116" s="290"/>
      <c r="D116" s="267"/>
      <c r="E116" s="263"/>
      <c r="F116" s="263"/>
      <c r="G116" s="265"/>
      <c r="H116" s="265"/>
      <c r="I116" s="265"/>
      <c r="J116" s="276">
        <f>SUM(J5:J115)</f>
        <v>903194.34999999986</v>
      </c>
      <c r="K116" s="164"/>
      <c r="L116" s="235"/>
      <c r="M116" s="164"/>
      <c r="N116" s="164"/>
      <c r="O116" s="472"/>
      <c r="P116" s="164"/>
    </row>
    <row r="117" spans="2:16">
      <c r="B117" s="474"/>
      <c r="C117" s="475"/>
      <c r="D117" s="476"/>
      <c r="E117" s="477"/>
      <c r="F117" s="478"/>
      <c r="G117" s="479"/>
      <c r="H117" s="480"/>
      <c r="I117" s="480"/>
      <c r="J117" s="481"/>
      <c r="K117" s="164"/>
      <c r="L117" s="235"/>
      <c r="M117" s="164"/>
      <c r="N117" s="164"/>
      <c r="O117" s="472"/>
      <c r="P117" s="164"/>
    </row>
    <row r="118" spans="2:16" ht="19.5">
      <c r="B118" s="474"/>
      <c r="C118" s="475" t="s">
        <v>1280</v>
      </c>
      <c r="D118" s="476"/>
      <c r="E118" s="477" t="s">
        <v>491</v>
      </c>
      <c r="F118" s="478"/>
      <c r="G118" s="479"/>
      <c r="H118" s="480"/>
      <c r="I118" s="480"/>
      <c r="J118" s="481"/>
      <c r="K118" s="482"/>
      <c r="L118" s="483"/>
      <c r="M118" s="482"/>
      <c r="N118" s="482"/>
      <c r="O118" s="484"/>
      <c r="P118" s="482"/>
    </row>
    <row r="119" spans="2:16" ht="19.5">
      <c r="B119" s="474"/>
      <c r="C119" s="475"/>
      <c r="D119" s="476"/>
      <c r="E119" s="477"/>
      <c r="F119" s="478"/>
      <c r="G119" s="479"/>
      <c r="H119" s="480"/>
      <c r="I119" s="480"/>
      <c r="J119" s="481"/>
      <c r="K119" s="482"/>
      <c r="L119" s="483"/>
      <c r="M119" s="482"/>
      <c r="N119" s="482"/>
      <c r="O119" s="484"/>
      <c r="P119" s="482"/>
    </row>
    <row r="120" spans="2:16">
      <c r="B120" s="459"/>
      <c r="C120" s="464" t="s">
        <v>539</v>
      </c>
      <c r="D120" s="465" t="s">
        <v>896</v>
      </c>
      <c r="E120" s="459"/>
      <c r="F120" s="459"/>
      <c r="G120" s="459"/>
      <c r="H120" s="459"/>
      <c r="I120" s="459"/>
      <c r="J120" s="462"/>
      <c r="K120" s="235"/>
      <c r="L120" s="235"/>
      <c r="M120" s="235"/>
      <c r="N120" s="235"/>
      <c r="O120" s="463"/>
      <c r="P120" s="235"/>
    </row>
    <row r="121" spans="2:16" ht="19.5">
      <c r="B121" s="474"/>
      <c r="C121" s="475"/>
      <c r="D121" s="476"/>
      <c r="E121" s="477"/>
      <c r="F121" s="478"/>
      <c r="G121" s="479"/>
      <c r="H121" s="480"/>
      <c r="I121" s="480"/>
      <c r="J121" s="481"/>
      <c r="K121" s="482"/>
      <c r="L121" s="483"/>
      <c r="M121" s="482"/>
      <c r="N121" s="482"/>
      <c r="O121" s="484"/>
      <c r="P121" s="482"/>
    </row>
    <row r="122" spans="2:16" ht="19.5">
      <c r="B122" s="485" t="s">
        <v>691</v>
      </c>
      <c r="C122" s="486" t="s">
        <v>897</v>
      </c>
      <c r="D122" s="487" t="s">
        <v>898</v>
      </c>
      <c r="E122" s="458" t="s">
        <v>899</v>
      </c>
      <c r="F122" s="458" t="s">
        <v>1861</v>
      </c>
      <c r="G122" s="264"/>
      <c r="H122" s="469" t="s">
        <v>82</v>
      </c>
      <c r="I122" s="265"/>
      <c r="J122" s="276" t="s">
        <v>1787</v>
      </c>
      <c r="K122" s="482"/>
      <c r="L122" s="483"/>
      <c r="M122" s="482"/>
      <c r="N122" s="482"/>
      <c r="O122" s="484"/>
      <c r="P122" s="482"/>
    </row>
    <row r="123" spans="2:16" ht="19.5">
      <c r="B123" s="458">
        <v>1</v>
      </c>
      <c r="C123" s="488" t="s">
        <v>900</v>
      </c>
      <c r="D123" s="489" t="s">
        <v>901</v>
      </c>
      <c r="E123" s="458" t="s">
        <v>1924</v>
      </c>
      <c r="F123" s="458">
        <v>50</v>
      </c>
      <c r="G123" s="264"/>
      <c r="H123" s="265">
        <v>167</v>
      </c>
      <c r="I123" s="265"/>
      <c r="J123" s="276">
        <f>F123*H123</f>
        <v>8350</v>
      </c>
      <c r="K123" s="482"/>
      <c r="L123" s="483"/>
      <c r="M123" s="482"/>
      <c r="N123" s="482"/>
      <c r="O123" s="484"/>
      <c r="P123" s="482"/>
    </row>
    <row r="124" spans="2:16" ht="19.5">
      <c r="B124" s="458">
        <v>2</v>
      </c>
      <c r="C124" s="488" t="s">
        <v>902</v>
      </c>
      <c r="D124" s="489" t="s">
        <v>903</v>
      </c>
      <c r="E124" s="458" t="s">
        <v>1924</v>
      </c>
      <c r="F124" s="458">
        <v>100</v>
      </c>
      <c r="G124" s="264"/>
      <c r="H124" s="265">
        <v>292</v>
      </c>
      <c r="I124" s="265"/>
      <c r="J124" s="276">
        <f t="shared" ref="J124:J132" si="4">F124*H124</f>
        <v>29200</v>
      </c>
      <c r="K124" s="482"/>
      <c r="L124" s="483"/>
      <c r="M124" s="482"/>
      <c r="N124" s="482"/>
      <c r="O124" s="484"/>
      <c r="P124" s="482"/>
    </row>
    <row r="125" spans="2:16" ht="19.5">
      <c r="B125" s="458">
        <v>3</v>
      </c>
      <c r="C125" s="488" t="s">
        <v>904</v>
      </c>
      <c r="D125" s="489" t="s">
        <v>905</v>
      </c>
      <c r="E125" s="458" t="s">
        <v>1924</v>
      </c>
      <c r="F125" s="458">
        <v>1050</v>
      </c>
      <c r="G125" s="264"/>
      <c r="H125" s="265">
        <v>78</v>
      </c>
      <c r="I125" s="265"/>
      <c r="J125" s="276">
        <f t="shared" si="4"/>
        <v>81900</v>
      </c>
      <c r="K125" s="482"/>
      <c r="L125" s="483"/>
      <c r="M125" s="482"/>
      <c r="N125" s="482"/>
      <c r="O125" s="484"/>
      <c r="P125" s="482"/>
    </row>
    <row r="126" spans="2:16" ht="19.5">
      <c r="B126" s="458">
        <v>4</v>
      </c>
      <c r="C126" s="488" t="s">
        <v>906</v>
      </c>
      <c r="D126" s="489" t="s">
        <v>907</v>
      </c>
      <c r="E126" s="458" t="s">
        <v>1924</v>
      </c>
      <c r="F126" s="458">
        <v>1000</v>
      </c>
      <c r="G126" s="264"/>
      <c r="H126" s="265">
        <v>67.2</v>
      </c>
      <c r="I126" s="265"/>
      <c r="J126" s="276">
        <f t="shared" si="4"/>
        <v>67200</v>
      </c>
      <c r="K126" s="482"/>
      <c r="L126" s="483"/>
      <c r="M126" s="482"/>
      <c r="N126" s="482"/>
      <c r="O126" s="484"/>
      <c r="P126" s="482"/>
    </row>
    <row r="127" spans="2:16" ht="19.5">
      <c r="B127" s="458">
        <v>5</v>
      </c>
      <c r="C127" s="488" t="s">
        <v>908</v>
      </c>
      <c r="D127" s="489" t="s">
        <v>909</v>
      </c>
      <c r="E127" s="458" t="s">
        <v>1924</v>
      </c>
      <c r="F127" s="458">
        <v>150</v>
      </c>
      <c r="G127" s="264"/>
      <c r="H127" s="265">
        <v>104.4</v>
      </c>
      <c r="I127" s="265"/>
      <c r="J127" s="276">
        <f t="shared" si="4"/>
        <v>15660</v>
      </c>
      <c r="K127" s="482"/>
      <c r="L127" s="483"/>
      <c r="M127" s="482"/>
      <c r="N127" s="482"/>
      <c r="O127" s="484"/>
      <c r="P127" s="482"/>
    </row>
    <row r="128" spans="2:16" ht="19.5">
      <c r="B128" s="458">
        <v>6</v>
      </c>
      <c r="C128" s="488" t="s">
        <v>910</v>
      </c>
      <c r="D128" s="489" t="s">
        <v>911</v>
      </c>
      <c r="E128" s="458" t="s">
        <v>1924</v>
      </c>
      <c r="F128" s="458">
        <v>3300</v>
      </c>
      <c r="G128" s="264"/>
      <c r="H128" s="265">
        <v>23.2</v>
      </c>
      <c r="I128" s="265"/>
      <c r="J128" s="276">
        <f t="shared" si="4"/>
        <v>76560</v>
      </c>
      <c r="K128" s="482"/>
      <c r="L128" s="483"/>
      <c r="M128" s="482"/>
      <c r="N128" s="482"/>
      <c r="O128" s="484"/>
      <c r="P128" s="482"/>
    </row>
    <row r="129" spans="2:17" ht="19.5">
      <c r="B129" s="458">
        <v>7</v>
      </c>
      <c r="C129" s="488" t="s">
        <v>912</v>
      </c>
      <c r="D129" s="489" t="s">
        <v>913</v>
      </c>
      <c r="E129" s="458" t="s">
        <v>1924</v>
      </c>
      <c r="F129" s="458">
        <v>100</v>
      </c>
      <c r="G129" s="264"/>
      <c r="H129" s="265">
        <v>31.03</v>
      </c>
      <c r="I129" s="265"/>
      <c r="J129" s="276">
        <f t="shared" si="4"/>
        <v>3103</v>
      </c>
      <c r="K129" s="482"/>
      <c r="L129" s="483"/>
      <c r="M129" s="482"/>
      <c r="N129" s="482"/>
      <c r="O129" s="484"/>
      <c r="P129" s="482"/>
    </row>
    <row r="130" spans="2:17" ht="19.5">
      <c r="B130" s="458">
        <v>8</v>
      </c>
      <c r="C130" s="488" t="s">
        <v>914</v>
      </c>
      <c r="D130" s="489" t="s">
        <v>909</v>
      </c>
      <c r="E130" s="458" t="s">
        <v>1924</v>
      </c>
      <c r="F130" s="458">
        <v>300</v>
      </c>
      <c r="G130" s="264"/>
      <c r="H130" s="265">
        <v>13.09</v>
      </c>
      <c r="I130" s="265"/>
      <c r="J130" s="276">
        <f t="shared" si="4"/>
        <v>3927</v>
      </c>
      <c r="K130" s="482"/>
      <c r="L130" s="483"/>
      <c r="M130" s="482"/>
      <c r="N130" s="482"/>
      <c r="O130" s="484"/>
      <c r="P130" s="482"/>
    </row>
    <row r="131" spans="2:17" ht="19.5">
      <c r="B131" s="458">
        <v>9</v>
      </c>
      <c r="C131" s="488" t="s">
        <v>915</v>
      </c>
      <c r="D131" s="489" t="s">
        <v>909</v>
      </c>
      <c r="E131" s="458" t="s">
        <v>1924</v>
      </c>
      <c r="F131" s="458">
        <v>200</v>
      </c>
      <c r="G131" s="264"/>
      <c r="H131" s="265">
        <v>58.85</v>
      </c>
      <c r="I131" s="265"/>
      <c r="J131" s="276">
        <f t="shared" si="4"/>
        <v>11770</v>
      </c>
      <c r="K131" s="482"/>
      <c r="L131" s="483"/>
      <c r="M131" s="482"/>
      <c r="N131" s="482"/>
      <c r="O131" s="484"/>
      <c r="P131" s="482"/>
    </row>
    <row r="132" spans="2:17" ht="19.5">
      <c r="B132" s="458">
        <v>10</v>
      </c>
      <c r="C132" s="488" t="s">
        <v>916</v>
      </c>
      <c r="D132" s="489" t="s">
        <v>917</v>
      </c>
      <c r="E132" s="458" t="s">
        <v>696</v>
      </c>
      <c r="F132" s="458">
        <v>30</v>
      </c>
      <c r="G132" s="264"/>
      <c r="H132" s="265">
        <v>77.3</v>
      </c>
      <c r="I132" s="265"/>
      <c r="J132" s="276">
        <f t="shared" si="4"/>
        <v>2319</v>
      </c>
      <c r="K132" s="482"/>
      <c r="L132" s="483"/>
      <c r="M132" s="482"/>
      <c r="N132" s="482"/>
      <c r="O132" s="484"/>
      <c r="P132" s="482"/>
    </row>
    <row r="133" spans="2:17" ht="19.5">
      <c r="B133" s="263"/>
      <c r="C133" s="490"/>
      <c r="D133" s="491"/>
      <c r="E133" s="639"/>
      <c r="F133" s="492"/>
      <c r="G133" s="264"/>
      <c r="H133" s="265"/>
      <c r="I133" s="265"/>
      <c r="J133" s="276">
        <f>SUM(J123:J132)</f>
        <v>299989</v>
      </c>
      <c r="K133" s="482"/>
      <c r="L133" s="483"/>
      <c r="M133" s="482"/>
      <c r="N133" s="482"/>
      <c r="O133" s="484"/>
      <c r="P133" s="482"/>
    </row>
    <row r="134" spans="2:17" ht="19.5">
      <c r="B134" s="474"/>
      <c r="C134" s="475"/>
      <c r="D134" s="476"/>
      <c r="E134" s="477"/>
      <c r="F134" s="478"/>
      <c r="G134" s="479"/>
      <c r="H134" s="480"/>
      <c r="I134" s="480"/>
      <c r="J134" s="481"/>
      <c r="K134" s="482"/>
      <c r="L134" s="483"/>
      <c r="M134" s="482"/>
      <c r="N134" s="482"/>
      <c r="O134" s="484"/>
      <c r="P134" s="482"/>
    </row>
    <row r="135" spans="2:17" ht="19.5">
      <c r="B135" s="474"/>
      <c r="C135" s="475" t="s">
        <v>1280</v>
      </c>
      <c r="D135" s="476"/>
      <c r="E135" s="477" t="s">
        <v>491</v>
      </c>
      <c r="F135" s="478"/>
      <c r="G135" s="479"/>
      <c r="H135" s="480"/>
      <c r="I135" s="480"/>
      <c r="J135" s="481"/>
      <c r="K135" s="482"/>
      <c r="L135" s="483"/>
      <c r="M135" s="482"/>
      <c r="N135" s="482"/>
      <c r="O135" s="484"/>
      <c r="P135" s="482"/>
    </row>
    <row r="136" spans="2:17">
      <c r="B136" s="474"/>
      <c r="C136" s="475"/>
      <c r="D136" s="476"/>
      <c r="E136" s="477"/>
      <c r="F136" s="478"/>
      <c r="G136" s="479"/>
      <c r="H136" s="480"/>
      <c r="I136" s="480"/>
      <c r="J136" s="481"/>
      <c r="K136" s="164"/>
      <c r="L136" s="235"/>
      <c r="M136" s="164"/>
      <c r="N136" s="164"/>
      <c r="O136" s="472"/>
      <c r="P136" s="164"/>
    </row>
    <row r="137" spans="2:17">
      <c r="B137" s="474"/>
      <c r="C137" s="464" t="s">
        <v>539</v>
      </c>
      <c r="D137" s="465" t="s">
        <v>918</v>
      </c>
      <c r="E137" s="477"/>
      <c r="F137" s="478"/>
      <c r="G137" s="479"/>
      <c r="H137" s="480"/>
      <c r="I137" s="480"/>
      <c r="J137" s="481"/>
      <c r="K137" s="164"/>
      <c r="L137" s="235"/>
      <c r="M137" s="164"/>
      <c r="N137" s="164"/>
      <c r="O137" s="472"/>
      <c r="P137" s="164"/>
    </row>
    <row r="138" spans="2:17">
      <c r="B138" s="459"/>
      <c r="C138" s="460"/>
      <c r="D138" s="461"/>
      <c r="E138" s="459"/>
      <c r="F138" s="459"/>
      <c r="G138" s="459"/>
      <c r="H138" s="459"/>
      <c r="I138" s="459"/>
      <c r="J138" s="462"/>
      <c r="K138" s="235"/>
      <c r="L138" s="235"/>
      <c r="M138" s="235"/>
      <c r="N138" s="235"/>
      <c r="O138" s="463"/>
      <c r="P138" s="235"/>
    </row>
    <row r="139" spans="2:17" s="284" customFormat="1" ht="31.5">
      <c r="B139" s="492" t="s">
        <v>1783</v>
      </c>
      <c r="C139" s="105" t="s">
        <v>1860</v>
      </c>
      <c r="D139" s="493"/>
      <c r="E139" s="638" t="s">
        <v>1786</v>
      </c>
      <c r="F139" s="469" t="s">
        <v>1861</v>
      </c>
      <c r="G139" s="469"/>
      <c r="H139" s="469" t="s">
        <v>82</v>
      </c>
      <c r="I139" s="470"/>
      <c r="J139" s="471" t="s">
        <v>540</v>
      </c>
      <c r="K139" s="494"/>
      <c r="L139" s="494"/>
      <c r="M139" s="494"/>
      <c r="N139" s="494"/>
      <c r="O139" s="495"/>
      <c r="P139" s="494"/>
      <c r="Q139" s="628"/>
    </row>
    <row r="140" spans="2:17" s="284" customFormat="1">
      <c r="B140" s="263">
        <v>1</v>
      </c>
      <c r="C140" s="496" t="s">
        <v>1865</v>
      </c>
      <c r="D140" s="290" t="s">
        <v>1866</v>
      </c>
      <c r="E140" s="263" t="s">
        <v>1867</v>
      </c>
      <c r="F140" s="263">
        <v>1050</v>
      </c>
      <c r="G140" s="265">
        <v>95</v>
      </c>
      <c r="H140" s="265">
        <v>71</v>
      </c>
      <c r="I140" s="263"/>
      <c r="J140" s="276">
        <f t="shared" ref="J140:J181" si="5">H140*F140</f>
        <v>74550</v>
      </c>
      <c r="K140" s="235"/>
      <c r="L140" s="235"/>
      <c r="M140" s="235"/>
      <c r="N140" s="235"/>
      <c r="O140" s="463"/>
      <c r="P140" s="235"/>
      <c r="Q140" s="628"/>
    </row>
    <row r="141" spans="2:17" s="324" customFormat="1" ht="19.5">
      <c r="B141" s="263">
        <v>2</v>
      </c>
      <c r="C141" s="496" t="s">
        <v>1868</v>
      </c>
      <c r="D141" s="290" t="s">
        <v>1869</v>
      </c>
      <c r="E141" s="263" t="s">
        <v>1867</v>
      </c>
      <c r="F141" s="263">
        <v>1500</v>
      </c>
      <c r="G141" s="265">
        <v>20</v>
      </c>
      <c r="H141" s="265">
        <v>20</v>
      </c>
      <c r="I141" s="263"/>
      <c r="J141" s="276">
        <f t="shared" si="5"/>
        <v>30000</v>
      </c>
      <c r="K141" s="235"/>
      <c r="L141" s="235"/>
      <c r="M141" s="235"/>
      <c r="N141" s="235"/>
      <c r="O141" s="463"/>
      <c r="P141" s="235"/>
      <c r="Q141" s="628"/>
    </row>
    <row r="142" spans="2:17" s="284" customFormat="1" ht="31.5">
      <c r="B142" s="263">
        <v>3</v>
      </c>
      <c r="C142" s="496" t="s">
        <v>1868</v>
      </c>
      <c r="D142" s="290" t="s">
        <v>1870</v>
      </c>
      <c r="E142" s="263" t="s">
        <v>1867</v>
      </c>
      <c r="F142" s="263">
        <v>7350</v>
      </c>
      <c r="G142" s="265">
        <v>16</v>
      </c>
      <c r="H142" s="265">
        <v>15</v>
      </c>
      <c r="I142" s="263"/>
      <c r="J142" s="276">
        <f t="shared" si="5"/>
        <v>110250</v>
      </c>
      <c r="K142" s="235"/>
      <c r="L142" s="235"/>
      <c r="M142" s="235"/>
      <c r="N142" s="235"/>
      <c r="O142" s="463"/>
      <c r="P142" s="235"/>
      <c r="Q142" s="628"/>
    </row>
    <row r="143" spans="2:17" s="284" customFormat="1" ht="31.5">
      <c r="B143" s="263">
        <v>4</v>
      </c>
      <c r="C143" s="496" t="s">
        <v>1868</v>
      </c>
      <c r="D143" s="290" t="s">
        <v>1871</v>
      </c>
      <c r="E143" s="263" t="s">
        <v>1867</v>
      </c>
      <c r="F143" s="263">
        <v>4350</v>
      </c>
      <c r="G143" s="265">
        <v>15</v>
      </c>
      <c r="H143" s="265">
        <v>14</v>
      </c>
      <c r="I143" s="263"/>
      <c r="J143" s="276">
        <f t="shared" si="5"/>
        <v>60900</v>
      </c>
      <c r="K143" s="235"/>
      <c r="L143" s="235"/>
      <c r="M143" s="235"/>
      <c r="N143" s="235"/>
      <c r="O143" s="463"/>
      <c r="P143" s="235"/>
      <c r="Q143" s="628"/>
    </row>
    <row r="144" spans="2:17" s="284" customFormat="1">
      <c r="B144" s="263">
        <v>5</v>
      </c>
      <c r="C144" s="496" t="s">
        <v>1868</v>
      </c>
      <c r="D144" s="290" t="s">
        <v>1872</v>
      </c>
      <c r="E144" s="263" t="s">
        <v>1873</v>
      </c>
      <c r="F144" s="263">
        <v>100</v>
      </c>
      <c r="G144" s="265">
        <v>20</v>
      </c>
      <c r="H144" s="265">
        <v>20</v>
      </c>
      <c r="I144" s="263"/>
      <c r="J144" s="276">
        <f t="shared" si="5"/>
        <v>2000</v>
      </c>
      <c r="K144" s="235"/>
      <c r="L144" s="235"/>
      <c r="M144" s="235"/>
      <c r="N144" s="235"/>
      <c r="O144" s="463"/>
      <c r="P144" s="235"/>
      <c r="Q144" s="628"/>
    </row>
    <row r="145" spans="2:19">
      <c r="B145" s="263">
        <v>6</v>
      </c>
      <c r="C145" s="496" t="s">
        <v>1874</v>
      </c>
      <c r="D145" s="290" t="s">
        <v>1875</v>
      </c>
      <c r="E145" s="263" t="s">
        <v>1867</v>
      </c>
      <c r="F145" s="263">
        <v>650</v>
      </c>
      <c r="G145" s="265">
        <v>100</v>
      </c>
      <c r="H145" s="265">
        <v>123.05</v>
      </c>
      <c r="I145" s="263"/>
      <c r="J145" s="276">
        <f t="shared" si="5"/>
        <v>79982.5</v>
      </c>
      <c r="K145" s="235"/>
      <c r="L145" s="235"/>
      <c r="M145" s="235"/>
      <c r="N145" s="235"/>
      <c r="O145" s="463"/>
      <c r="P145" s="235"/>
    </row>
    <row r="146" spans="2:19" s="283" customFormat="1">
      <c r="B146" s="263">
        <v>7</v>
      </c>
      <c r="C146" s="496" t="s">
        <v>1876</v>
      </c>
      <c r="D146" s="290" t="s">
        <v>1877</v>
      </c>
      <c r="E146" s="263" t="s">
        <v>1867</v>
      </c>
      <c r="F146" s="263">
        <v>110</v>
      </c>
      <c r="G146" s="265">
        <v>69</v>
      </c>
      <c r="H146" s="265">
        <f>G146*1.07</f>
        <v>73.83</v>
      </c>
      <c r="I146" s="263"/>
      <c r="J146" s="276">
        <f t="shared" si="5"/>
        <v>8121.3</v>
      </c>
      <c r="K146" s="235"/>
      <c r="L146" s="235"/>
      <c r="M146" s="235"/>
      <c r="N146" s="235"/>
      <c r="O146" s="463"/>
      <c r="P146" s="235"/>
      <c r="S146" s="628"/>
    </row>
    <row r="147" spans="2:19">
      <c r="B147" s="263">
        <v>8</v>
      </c>
      <c r="C147" s="496" t="s">
        <v>1878</v>
      </c>
      <c r="D147" s="290" t="s">
        <v>1879</v>
      </c>
      <c r="E147" s="263" t="s">
        <v>1867</v>
      </c>
      <c r="F147" s="263">
        <v>500</v>
      </c>
      <c r="G147" s="265">
        <v>100</v>
      </c>
      <c r="H147" s="265">
        <v>85.6</v>
      </c>
      <c r="I147" s="263"/>
      <c r="J147" s="276">
        <f t="shared" si="5"/>
        <v>42800</v>
      </c>
      <c r="K147" s="235"/>
      <c r="L147" s="235"/>
      <c r="M147" s="235"/>
      <c r="N147" s="235"/>
      <c r="O147" s="463"/>
      <c r="P147" s="235"/>
    </row>
    <row r="148" spans="2:19">
      <c r="B148" s="263">
        <v>9</v>
      </c>
      <c r="C148" s="496" t="s">
        <v>492</v>
      </c>
      <c r="D148" s="290" t="s">
        <v>1880</v>
      </c>
      <c r="E148" s="263" t="s">
        <v>1867</v>
      </c>
      <c r="F148" s="263">
        <v>50</v>
      </c>
      <c r="G148" s="265">
        <v>69</v>
      </c>
      <c r="H148" s="265">
        <f>G148*1.07</f>
        <v>73.83</v>
      </c>
      <c r="I148" s="263"/>
      <c r="J148" s="276">
        <f t="shared" si="5"/>
        <v>3691.5</v>
      </c>
      <c r="K148" s="235"/>
      <c r="L148" s="235"/>
      <c r="M148" s="235"/>
      <c r="N148" s="235"/>
      <c r="O148" s="463"/>
      <c r="P148" s="235"/>
    </row>
    <row r="149" spans="2:19" ht="31.5">
      <c r="B149" s="263">
        <v>10</v>
      </c>
      <c r="C149" s="496" t="s">
        <v>1874</v>
      </c>
      <c r="D149" s="290" t="s">
        <v>1881</v>
      </c>
      <c r="E149" s="263" t="s">
        <v>1867</v>
      </c>
      <c r="F149" s="263">
        <v>999</v>
      </c>
      <c r="G149" s="265">
        <v>72</v>
      </c>
      <c r="H149" s="265">
        <f>G149*1.07</f>
        <v>77.040000000000006</v>
      </c>
      <c r="I149" s="263"/>
      <c r="J149" s="276">
        <f t="shared" si="5"/>
        <v>76962.960000000006</v>
      </c>
      <c r="K149" s="235"/>
      <c r="L149" s="235"/>
      <c r="M149" s="235"/>
      <c r="N149" s="235"/>
      <c r="O149" s="463"/>
      <c r="P149" s="235"/>
    </row>
    <row r="150" spans="2:19">
      <c r="B150" s="263">
        <v>11</v>
      </c>
      <c r="C150" s="496" t="s">
        <v>1882</v>
      </c>
      <c r="D150" s="290" t="s">
        <v>1883</v>
      </c>
      <c r="E150" s="263" t="s">
        <v>1867</v>
      </c>
      <c r="F150" s="263">
        <v>670</v>
      </c>
      <c r="G150" s="265">
        <v>115</v>
      </c>
      <c r="H150" s="265">
        <v>120</v>
      </c>
      <c r="I150" s="263"/>
      <c r="J150" s="276">
        <f t="shared" si="5"/>
        <v>80400</v>
      </c>
      <c r="K150" s="235"/>
      <c r="L150" s="235"/>
      <c r="M150" s="235"/>
      <c r="N150" s="235"/>
      <c r="O150" s="463"/>
      <c r="P150" s="235"/>
    </row>
    <row r="151" spans="2:19">
      <c r="B151" s="263">
        <v>12</v>
      </c>
      <c r="C151" s="496" t="s">
        <v>1882</v>
      </c>
      <c r="D151" s="290" t="s">
        <v>1884</v>
      </c>
      <c r="E151" s="263" t="s">
        <v>1867</v>
      </c>
      <c r="F151" s="263">
        <v>100</v>
      </c>
      <c r="G151" s="265">
        <v>185</v>
      </c>
      <c r="H151" s="265">
        <v>185</v>
      </c>
      <c r="I151" s="263"/>
      <c r="J151" s="276">
        <f t="shared" si="5"/>
        <v>18500</v>
      </c>
      <c r="K151" s="235"/>
      <c r="L151" s="235"/>
      <c r="M151" s="235"/>
      <c r="N151" s="235"/>
      <c r="O151" s="463"/>
      <c r="P151" s="235"/>
    </row>
    <row r="152" spans="2:19" ht="31.5">
      <c r="B152" s="263">
        <v>13</v>
      </c>
      <c r="C152" s="496" t="s">
        <v>1885</v>
      </c>
      <c r="D152" s="290" t="s">
        <v>1886</v>
      </c>
      <c r="E152" s="263" t="s">
        <v>1867</v>
      </c>
      <c r="F152" s="263">
        <v>450</v>
      </c>
      <c r="G152" s="265">
        <v>25</v>
      </c>
      <c r="H152" s="265">
        <v>25</v>
      </c>
      <c r="I152" s="263"/>
      <c r="J152" s="276">
        <f t="shared" si="5"/>
        <v>11250</v>
      </c>
      <c r="K152" s="235"/>
      <c r="L152" s="235"/>
      <c r="M152" s="235"/>
      <c r="N152" s="235"/>
      <c r="O152" s="463"/>
      <c r="P152" s="235"/>
    </row>
    <row r="153" spans="2:19">
      <c r="B153" s="263">
        <v>14</v>
      </c>
      <c r="C153" s="496" t="s">
        <v>1887</v>
      </c>
      <c r="D153" s="290" t="s">
        <v>1888</v>
      </c>
      <c r="E153" s="263" t="s">
        <v>1867</v>
      </c>
      <c r="F153" s="263">
        <v>100</v>
      </c>
      <c r="G153" s="265">
        <v>28</v>
      </c>
      <c r="H153" s="265">
        <v>28</v>
      </c>
      <c r="I153" s="263"/>
      <c r="J153" s="276">
        <f t="shared" si="5"/>
        <v>2800</v>
      </c>
      <c r="K153" s="235"/>
      <c r="L153" s="235"/>
      <c r="M153" s="235"/>
      <c r="N153" s="235"/>
      <c r="O153" s="463"/>
      <c r="P153" s="235"/>
    </row>
    <row r="154" spans="2:19">
      <c r="B154" s="263">
        <v>15</v>
      </c>
      <c r="C154" s="496" t="s">
        <v>1887</v>
      </c>
      <c r="D154" s="290" t="s">
        <v>1889</v>
      </c>
      <c r="E154" s="263" t="s">
        <v>1867</v>
      </c>
      <c r="F154" s="263">
        <v>550</v>
      </c>
      <c r="G154" s="265">
        <v>19</v>
      </c>
      <c r="H154" s="265">
        <v>18</v>
      </c>
      <c r="I154" s="263"/>
      <c r="J154" s="276">
        <f t="shared" si="5"/>
        <v>9900</v>
      </c>
      <c r="K154" s="235"/>
      <c r="L154" s="235"/>
      <c r="M154" s="235"/>
      <c r="N154" s="235"/>
      <c r="O154" s="463"/>
      <c r="P154" s="235"/>
    </row>
    <row r="155" spans="2:19">
      <c r="B155" s="263">
        <v>16</v>
      </c>
      <c r="C155" s="497" t="s">
        <v>1890</v>
      </c>
      <c r="D155" s="290" t="s">
        <v>1891</v>
      </c>
      <c r="E155" s="263" t="s">
        <v>1867</v>
      </c>
      <c r="F155" s="263">
        <v>24</v>
      </c>
      <c r="G155" s="265">
        <v>365</v>
      </c>
      <c r="H155" s="265">
        <v>342.4</v>
      </c>
      <c r="I155" s="263"/>
      <c r="J155" s="276">
        <f t="shared" si="5"/>
        <v>8217.5999999999985</v>
      </c>
      <c r="K155" s="235"/>
      <c r="L155" s="235"/>
      <c r="M155" s="235"/>
      <c r="N155" s="235"/>
      <c r="O155" s="463"/>
      <c r="P155" s="235"/>
    </row>
    <row r="156" spans="2:19" ht="31.5">
      <c r="B156" s="263">
        <v>17</v>
      </c>
      <c r="C156" s="496" t="s">
        <v>1892</v>
      </c>
      <c r="D156" s="290" t="s">
        <v>1893</v>
      </c>
      <c r="E156" s="263" t="s">
        <v>1867</v>
      </c>
      <c r="F156" s="263">
        <v>10</v>
      </c>
      <c r="G156" s="265">
        <v>68</v>
      </c>
      <c r="H156" s="265">
        <v>41</v>
      </c>
      <c r="I156" s="263"/>
      <c r="J156" s="276">
        <f t="shared" si="5"/>
        <v>410</v>
      </c>
      <c r="K156" s="235"/>
      <c r="L156" s="235"/>
      <c r="M156" s="235"/>
      <c r="N156" s="235"/>
      <c r="O156" s="463"/>
      <c r="P156" s="235"/>
    </row>
    <row r="157" spans="2:19">
      <c r="B157" s="263">
        <v>18</v>
      </c>
      <c r="C157" s="496" t="s">
        <v>1894</v>
      </c>
      <c r="D157" s="290" t="s">
        <v>1895</v>
      </c>
      <c r="E157" s="263" t="s">
        <v>1867</v>
      </c>
      <c r="F157" s="263">
        <v>5</v>
      </c>
      <c r="G157" s="265">
        <v>280</v>
      </c>
      <c r="H157" s="265">
        <f>G157*1.07</f>
        <v>299.60000000000002</v>
      </c>
      <c r="I157" s="263"/>
      <c r="J157" s="276">
        <f t="shared" si="5"/>
        <v>1498</v>
      </c>
      <c r="K157" s="235"/>
      <c r="L157" s="235"/>
      <c r="M157" s="235"/>
      <c r="N157" s="235"/>
      <c r="O157" s="463"/>
      <c r="P157" s="235"/>
    </row>
    <row r="158" spans="2:19">
      <c r="B158" s="263">
        <v>19</v>
      </c>
      <c r="C158" s="496" t="s">
        <v>1894</v>
      </c>
      <c r="D158" s="290" t="s">
        <v>1896</v>
      </c>
      <c r="E158" s="263" t="s">
        <v>1867</v>
      </c>
      <c r="F158" s="263">
        <v>10</v>
      </c>
      <c r="G158" s="265">
        <v>160</v>
      </c>
      <c r="H158" s="265">
        <f>G158*1.07</f>
        <v>171.20000000000002</v>
      </c>
      <c r="I158" s="263"/>
      <c r="J158" s="276">
        <f t="shared" si="5"/>
        <v>1712.0000000000002</v>
      </c>
      <c r="K158" s="235"/>
      <c r="L158" s="235"/>
      <c r="M158" s="235"/>
      <c r="N158" s="235"/>
      <c r="O158" s="463"/>
      <c r="P158" s="235"/>
    </row>
    <row r="159" spans="2:19">
      <c r="B159" s="263">
        <v>20</v>
      </c>
      <c r="C159" s="497" t="s">
        <v>1897</v>
      </c>
      <c r="D159" s="327" t="s">
        <v>1898</v>
      </c>
      <c r="E159" s="263" t="s">
        <v>1867</v>
      </c>
      <c r="F159" s="263">
        <v>20</v>
      </c>
      <c r="G159" s="265">
        <v>280</v>
      </c>
      <c r="H159" s="265">
        <v>214</v>
      </c>
      <c r="I159" s="263"/>
      <c r="J159" s="276">
        <f t="shared" si="5"/>
        <v>4280</v>
      </c>
      <c r="K159" s="235"/>
      <c r="L159" s="235"/>
      <c r="M159" s="235"/>
      <c r="N159" s="235"/>
      <c r="O159" s="463"/>
      <c r="P159" s="235"/>
    </row>
    <row r="160" spans="2:19">
      <c r="B160" s="263">
        <v>21</v>
      </c>
      <c r="C160" s="496" t="s">
        <v>1899</v>
      </c>
      <c r="D160" s="290" t="s">
        <v>1900</v>
      </c>
      <c r="E160" s="263" t="s">
        <v>1867</v>
      </c>
      <c r="F160" s="263">
        <v>300</v>
      </c>
      <c r="G160" s="265">
        <v>28</v>
      </c>
      <c r="H160" s="265">
        <v>28</v>
      </c>
      <c r="I160" s="263"/>
      <c r="J160" s="276">
        <f t="shared" si="5"/>
        <v>8400</v>
      </c>
      <c r="K160" s="235"/>
      <c r="L160" s="235"/>
      <c r="M160" s="235"/>
      <c r="N160" s="235"/>
      <c r="O160" s="463"/>
      <c r="P160" s="235"/>
    </row>
    <row r="161" spans="2:16">
      <c r="B161" s="263">
        <v>22</v>
      </c>
      <c r="C161" s="496" t="s">
        <v>1901</v>
      </c>
      <c r="D161" s="290" t="s">
        <v>1902</v>
      </c>
      <c r="E161" s="263" t="s">
        <v>1867</v>
      </c>
      <c r="F161" s="263">
        <v>20</v>
      </c>
      <c r="G161" s="265">
        <v>33</v>
      </c>
      <c r="H161" s="265">
        <f>G161*1.07</f>
        <v>35.31</v>
      </c>
      <c r="I161" s="263"/>
      <c r="J161" s="276">
        <f t="shared" si="5"/>
        <v>706.2</v>
      </c>
      <c r="K161" s="235"/>
      <c r="L161" s="235"/>
      <c r="M161" s="235"/>
      <c r="N161" s="235"/>
      <c r="O161" s="463"/>
      <c r="P161" s="235"/>
    </row>
    <row r="162" spans="2:16">
      <c r="B162" s="263">
        <v>23</v>
      </c>
      <c r="C162" s="496" t="s">
        <v>1901</v>
      </c>
      <c r="D162" s="290" t="s">
        <v>1903</v>
      </c>
      <c r="E162" s="263" t="s">
        <v>1867</v>
      </c>
      <c r="F162" s="263">
        <v>20</v>
      </c>
      <c r="G162" s="265">
        <v>21</v>
      </c>
      <c r="H162" s="265">
        <f>G162*1.07</f>
        <v>22.470000000000002</v>
      </c>
      <c r="I162" s="263"/>
      <c r="J162" s="276">
        <f t="shared" si="5"/>
        <v>449.40000000000003</v>
      </c>
      <c r="K162" s="235"/>
      <c r="L162" s="235"/>
      <c r="M162" s="235"/>
      <c r="N162" s="235"/>
      <c r="O162" s="463"/>
      <c r="P162" s="235"/>
    </row>
    <row r="163" spans="2:16">
      <c r="B163" s="263">
        <v>24</v>
      </c>
      <c r="C163" s="496" t="s">
        <v>1874</v>
      </c>
      <c r="D163" s="290" t="s">
        <v>1904</v>
      </c>
      <c r="E163" s="263" t="s">
        <v>1867</v>
      </c>
      <c r="F163" s="263">
        <v>50</v>
      </c>
      <c r="G163" s="265">
        <v>145</v>
      </c>
      <c r="H163" s="265">
        <v>139.1</v>
      </c>
      <c r="I163" s="263"/>
      <c r="J163" s="276">
        <f t="shared" si="5"/>
        <v>6955</v>
      </c>
      <c r="K163" s="235"/>
      <c r="L163" s="235"/>
      <c r="M163" s="235"/>
      <c r="N163" s="235"/>
      <c r="O163" s="463"/>
      <c r="P163" s="235"/>
    </row>
    <row r="164" spans="2:16" ht="31.5">
      <c r="B164" s="263">
        <v>25</v>
      </c>
      <c r="C164" s="496" t="s">
        <v>1905</v>
      </c>
      <c r="D164" s="290" t="s">
        <v>1906</v>
      </c>
      <c r="E164" s="263" t="s">
        <v>1867</v>
      </c>
      <c r="F164" s="263">
        <v>1000</v>
      </c>
      <c r="G164" s="265">
        <v>105</v>
      </c>
      <c r="H164" s="265">
        <v>117.7</v>
      </c>
      <c r="I164" s="263"/>
      <c r="J164" s="276">
        <f t="shared" si="5"/>
        <v>117700</v>
      </c>
      <c r="K164" s="235"/>
      <c r="L164" s="235"/>
      <c r="M164" s="235"/>
      <c r="N164" s="235"/>
      <c r="O164" s="463"/>
      <c r="P164" s="235"/>
    </row>
    <row r="165" spans="2:16">
      <c r="B165" s="263">
        <v>26</v>
      </c>
      <c r="C165" s="496" t="s">
        <v>1907</v>
      </c>
      <c r="D165" s="290" t="s">
        <v>1908</v>
      </c>
      <c r="E165" s="263" t="s">
        <v>1873</v>
      </c>
      <c r="F165" s="263">
        <v>125</v>
      </c>
      <c r="G165" s="265">
        <v>45</v>
      </c>
      <c r="H165" s="265">
        <v>44.94</v>
      </c>
      <c r="I165" s="263"/>
      <c r="J165" s="276">
        <f t="shared" si="5"/>
        <v>5617.5</v>
      </c>
      <c r="K165" s="235"/>
      <c r="L165" s="235"/>
      <c r="M165" s="235"/>
      <c r="N165" s="235"/>
      <c r="O165" s="463"/>
      <c r="P165" s="235"/>
    </row>
    <row r="166" spans="2:16">
      <c r="B166" s="263">
        <v>27</v>
      </c>
      <c r="C166" s="496" t="s">
        <v>1909</v>
      </c>
      <c r="D166" s="290" t="s">
        <v>1910</v>
      </c>
      <c r="E166" s="263" t="s">
        <v>1873</v>
      </c>
      <c r="F166" s="263">
        <v>50</v>
      </c>
      <c r="G166" s="265">
        <v>117</v>
      </c>
      <c r="H166" s="265">
        <v>117</v>
      </c>
      <c r="I166" s="263"/>
      <c r="J166" s="276">
        <f t="shared" si="5"/>
        <v>5850</v>
      </c>
      <c r="K166" s="235"/>
      <c r="L166" s="235"/>
      <c r="M166" s="235"/>
      <c r="N166" s="235"/>
      <c r="O166" s="463"/>
      <c r="P166" s="235"/>
    </row>
    <row r="167" spans="2:16">
      <c r="B167" s="263">
        <v>28</v>
      </c>
      <c r="C167" s="496" t="s">
        <v>1909</v>
      </c>
      <c r="D167" s="290" t="s">
        <v>1911</v>
      </c>
      <c r="E167" s="263" t="s">
        <v>1873</v>
      </c>
      <c r="F167" s="263">
        <v>20</v>
      </c>
      <c r="G167" s="265">
        <v>235</v>
      </c>
      <c r="H167" s="265">
        <v>235</v>
      </c>
      <c r="I167" s="263"/>
      <c r="J167" s="276">
        <f t="shared" si="5"/>
        <v>4700</v>
      </c>
      <c r="K167" s="235"/>
      <c r="L167" s="235"/>
      <c r="M167" s="235"/>
      <c r="N167" s="235"/>
      <c r="O167" s="463"/>
      <c r="P167" s="235"/>
    </row>
    <row r="168" spans="2:16">
      <c r="B168" s="263">
        <v>29</v>
      </c>
      <c r="C168" s="496" t="s">
        <v>1912</v>
      </c>
      <c r="D168" s="290" t="s">
        <v>1913</v>
      </c>
      <c r="E168" s="263" t="s">
        <v>1873</v>
      </c>
      <c r="F168" s="263">
        <v>40</v>
      </c>
      <c r="G168" s="265">
        <v>140</v>
      </c>
      <c r="H168" s="265">
        <v>140</v>
      </c>
      <c r="I168" s="263"/>
      <c r="J168" s="276">
        <f t="shared" si="5"/>
        <v>5600</v>
      </c>
      <c r="K168" s="235"/>
      <c r="L168" s="235"/>
      <c r="M168" s="235"/>
      <c r="N168" s="235"/>
      <c r="O168" s="463"/>
      <c r="P168" s="235"/>
    </row>
    <row r="169" spans="2:16">
      <c r="B169" s="263">
        <v>30</v>
      </c>
      <c r="C169" s="496" t="s">
        <v>1912</v>
      </c>
      <c r="D169" s="290" t="s">
        <v>1914</v>
      </c>
      <c r="E169" s="263" t="s">
        <v>1873</v>
      </c>
      <c r="F169" s="263">
        <v>20</v>
      </c>
      <c r="G169" s="265">
        <v>240</v>
      </c>
      <c r="H169" s="265">
        <v>235</v>
      </c>
      <c r="I169" s="263"/>
      <c r="J169" s="276">
        <f t="shared" si="5"/>
        <v>4700</v>
      </c>
      <c r="K169" s="235"/>
      <c r="L169" s="235"/>
      <c r="M169" s="235"/>
      <c r="N169" s="235"/>
      <c r="O169" s="463"/>
      <c r="P169" s="235"/>
    </row>
    <row r="170" spans="2:16">
      <c r="B170" s="263">
        <v>31</v>
      </c>
      <c r="C170" s="496" t="s">
        <v>1915</v>
      </c>
      <c r="D170" s="290" t="s">
        <v>1916</v>
      </c>
      <c r="E170" s="263" t="s">
        <v>1873</v>
      </c>
      <c r="F170" s="263">
        <v>45</v>
      </c>
      <c r="G170" s="265">
        <v>25</v>
      </c>
      <c r="H170" s="265">
        <v>25</v>
      </c>
      <c r="I170" s="263"/>
      <c r="J170" s="276">
        <f t="shared" si="5"/>
        <v>1125</v>
      </c>
      <c r="K170" s="235"/>
      <c r="L170" s="235"/>
      <c r="M170" s="235"/>
      <c r="N170" s="235"/>
      <c r="O170" s="463"/>
      <c r="P170" s="235"/>
    </row>
    <row r="171" spans="2:16">
      <c r="B171" s="263">
        <v>32</v>
      </c>
      <c r="C171" s="496" t="s">
        <v>1917</v>
      </c>
      <c r="D171" s="290" t="s">
        <v>1918</v>
      </c>
      <c r="E171" s="263" t="s">
        <v>1873</v>
      </c>
      <c r="F171" s="263">
        <v>5</v>
      </c>
      <c r="G171" s="265">
        <v>255</v>
      </c>
      <c r="H171" s="265">
        <v>267.5</v>
      </c>
      <c r="I171" s="263"/>
      <c r="J171" s="276">
        <f t="shared" si="5"/>
        <v>1337.5</v>
      </c>
      <c r="K171" s="235"/>
      <c r="L171" s="235"/>
      <c r="M171" s="235"/>
      <c r="N171" s="235"/>
      <c r="O171" s="463"/>
      <c r="P171" s="235"/>
    </row>
    <row r="172" spans="2:16">
      <c r="B172" s="263">
        <v>33</v>
      </c>
      <c r="C172" s="496" t="s">
        <v>1919</v>
      </c>
      <c r="D172" s="290" t="s">
        <v>1920</v>
      </c>
      <c r="E172" s="263" t="s">
        <v>1873</v>
      </c>
      <c r="F172" s="263">
        <v>10</v>
      </c>
      <c r="G172" s="265">
        <v>165</v>
      </c>
      <c r="H172" s="265">
        <f>G172*1.07</f>
        <v>176.55</v>
      </c>
      <c r="I172" s="263"/>
      <c r="J172" s="276">
        <f t="shared" si="5"/>
        <v>1765.5</v>
      </c>
      <c r="K172" s="235"/>
      <c r="L172" s="235"/>
      <c r="M172" s="235"/>
      <c r="N172" s="235"/>
      <c r="O172" s="463"/>
      <c r="P172" s="235"/>
    </row>
    <row r="173" spans="2:16">
      <c r="B173" s="263">
        <v>34</v>
      </c>
      <c r="C173" s="496" t="s">
        <v>1919</v>
      </c>
      <c r="D173" s="290" t="s">
        <v>1921</v>
      </c>
      <c r="E173" s="263" t="s">
        <v>1873</v>
      </c>
      <c r="F173" s="263">
        <v>20</v>
      </c>
      <c r="G173" s="265">
        <v>330</v>
      </c>
      <c r="H173" s="265">
        <v>331.7</v>
      </c>
      <c r="I173" s="263"/>
      <c r="J173" s="276">
        <f t="shared" si="5"/>
        <v>6634</v>
      </c>
      <c r="K173" s="235"/>
      <c r="L173" s="235"/>
      <c r="M173" s="235"/>
      <c r="N173" s="235"/>
      <c r="O173" s="463"/>
      <c r="P173" s="235"/>
    </row>
    <row r="174" spans="2:16" ht="31.5">
      <c r="B174" s="263">
        <v>35</v>
      </c>
      <c r="C174" s="496" t="s">
        <v>1922</v>
      </c>
      <c r="D174" s="290" t="s">
        <v>1923</v>
      </c>
      <c r="E174" s="263" t="s">
        <v>1873</v>
      </c>
      <c r="F174" s="263">
        <v>50</v>
      </c>
      <c r="G174" s="265">
        <v>750</v>
      </c>
      <c r="H174" s="265">
        <v>740</v>
      </c>
      <c r="I174" s="263"/>
      <c r="J174" s="276">
        <f t="shared" si="5"/>
        <v>37000</v>
      </c>
      <c r="K174" s="235"/>
      <c r="L174" s="235"/>
      <c r="M174" s="235"/>
      <c r="N174" s="235"/>
      <c r="O174" s="463"/>
      <c r="P174" s="235"/>
    </row>
    <row r="175" spans="2:16" ht="31.5">
      <c r="B175" s="263">
        <v>39</v>
      </c>
      <c r="C175" s="496" t="s">
        <v>1925</v>
      </c>
      <c r="D175" s="290" t="s">
        <v>1926</v>
      </c>
      <c r="E175" s="263" t="s">
        <v>1924</v>
      </c>
      <c r="F175" s="263">
        <v>100</v>
      </c>
      <c r="G175" s="265">
        <v>95</v>
      </c>
      <c r="H175" s="265">
        <v>115</v>
      </c>
      <c r="I175" s="263"/>
      <c r="J175" s="276">
        <f t="shared" si="5"/>
        <v>11500</v>
      </c>
      <c r="K175" s="235"/>
      <c r="L175" s="235"/>
      <c r="M175" s="235"/>
      <c r="N175" s="235"/>
      <c r="O175" s="463"/>
      <c r="P175" s="235"/>
    </row>
    <row r="176" spans="2:16" ht="31.5">
      <c r="B176" s="263">
        <v>40</v>
      </c>
      <c r="C176" s="497" t="s">
        <v>1927</v>
      </c>
      <c r="D176" s="290" t="s">
        <v>1928</v>
      </c>
      <c r="E176" s="263" t="s">
        <v>1924</v>
      </c>
      <c r="F176" s="263">
        <v>100</v>
      </c>
      <c r="G176" s="265">
        <v>350</v>
      </c>
      <c r="H176" s="265">
        <v>330</v>
      </c>
      <c r="I176" s="263"/>
      <c r="J176" s="276">
        <f t="shared" si="5"/>
        <v>33000</v>
      </c>
      <c r="K176" s="235"/>
      <c r="L176" s="235"/>
      <c r="M176" s="235"/>
      <c r="N176" s="235"/>
      <c r="O176" s="463"/>
      <c r="P176" s="235"/>
    </row>
    <row r="177" spans="2:16" ht="31.5">
      <c r="B177" s="263">
        <v>41</v>
      </c>
      <c r="C177" s="497" t="s">
        <v>1929</v>
      </c>
      <c r="D177" s="290" t="s">
        <v>1930</v>
      </c>
      <c r="E177" s="263" t="s">
        <v>1924</v>
      </c>
      <c r="F177" s="263">
        <v>500</v>
      </c>
      <c r="G177" s="265">
        <v>100</v>
      </c>
      <c r="H177" s="265">
        <v>100</v>
      </c>
      <c r="I177" s="263"/>
      <c r="J177" s="276">
        <f t="shared" si="5"/>
        <v>50000</v>
      </c>
      <c r="K177" s="235"/>
      <c r="L177" s="235"/>
      <c r="M177" s="235"/>
      <c r="N177" s="235"/>
      <c r="O177" s="463"/>
      <c r="P177" s="235"/>
    </row>
    <row r="178" spans="2:16">
      <c r="B178" s="263">
        <v>42</v>
      </c>
      <c r="C178" s="496" t="s">
        <v>1931</v>
      </c>
      <c r="D178" s="290" t="s">
        <v>1932</v>
      </c>
      <c r="E178" s="263" t="s">
        <v>1867</v>
      </c>
      <c r="F178" s="263">
        <v>50</v>
      </c>
      <c r="G178" s="265">
        <v>22</v>
      </c>
      <c r="H178" s="265">
        <v>19.260000000000002</v>
      </c>
      <c r="I178" s="263"/>
      <c r="J178" s="276">
        <f t="shared" si="5"/>
        <v>963.00000000000011</v>
      </c>
      <c r="K178" s="235"/>
      <c r="L178" s="235"/>
      <c r="M178" s="235"/>
      <c r="N178" s="235"/>
      <c r="O178" s="463"/>
      <c r="P178" s="235"/>
    </row>
    <row r="179" spans="2:16" ht="31.5">
      <c r="B179" s="263">
        <v>43</v>
      </c>
      <c r="C179" s="497" t="s">
        <v>1890</v>
      </c>
      <c r="D179" s="290" t="s">
        <v>1933</v>
      </c>
      <c r="E179" s="263" t="s">
        <v>1934</v>
      </c>
      <c r="F179" s="263">
        <v>100</v>
      </c>
      <c r="G179" s="265">
        <v>250</v>
      </c>
      <c r="H179" s="265">
        <v>267.5</v>
      </c>
      <c r="I179" s="263"/>
      <c r="J179" s="276">
        <f t="shared" si="5"/>
        <v>26750</v>
      </c>
      <c r="K179" s="235"/>
      <c r="L179" s="235"/>
      <c r="M179" s="235"/>
      <c r="N179" s="235"/>
      <c r="O179" s="463"/>
      <c r="P179" s="235"/>
    </row>
    <row r="180" spans="2:16" ht="31.5">
      <c r="B180" s="263">
        <v>44</v>
      </c>
      <c r="C180" s="496" t="s">
        <v>1935</v>
      </c>
      <c r="D180" s="290" t="s">
        <v>1936</v>
      </c>
      <c r="E180" s="263" t="s">
        <v>1867</v>
      </c>
      <c r="F180" s="263">
        <v>50</v>
      </c>
      <c r="G180" s="265">
        <v>50</v>
      </c>
      <c r="H180" s="265">
        <v>48.15</v>
      </c>
      <c r="I180" s="263"/>
      <c r="J180" s="276">
        <f t="shared" si="5"/>
        <v>2407.5</v>
      </c>
      <c r="K180" s="235"/>
      <c r="L180" s="235"/>
      <c r="M180" s="235"/>
      <c r="N180" s="235"/>
      <c r="O180" s="463"/>
      <c r="P180" s="235"/>
    </row>
    <row r="181" spans="2:16">
      <c r="B181" s="263">
        <v>45</v>
      </c>
      <c r="C181" s="497" t="s">
        <v>1937</v>
      </c>
      <c r="D181" s="290" t="s">
        <v>1938</v>
      </c>
      <c r="E181" s="263" t="s">
        <v>1873</v>
      </c>
      <c r="F181" s="263">
        <v>10</v>
      </c>
      <c r="G181" s="265">
        <v>130</v>
      </c>
      <c r="H181" s="265">
        <v>149.80000000000001</v>
      </c>
      <c r="I181" s="263"/>
      <c r="J181" s="276">
        <f t="shared" si="5"/>
        <v>1498</v>
      </c>
      <c r="K181" s="235"/>
      <c r="L181" s="235"/>
      <c r="M181" s="235"/>
      <c r="N181" s="235"/>
      <c r="O181" s="463"/>
      <c r="P181" s="235"/>
    </row>
    <row r="182" spans="2:16">
      <c r="B182" s="263">
        <v>46</v>
      </c>
      <c r="C182" s="496" t="s">
        <v>1878</v>
      </c>
      <c r="D182" s="290" t="s">
        <v>1939</v>
      </c>
      <c r="E182" s="263" t="s">
        <v>1873</v>
      </c>
      <c r="F182" s="263">
        <v>170</v>
      </c>
      <c r="G182" s="265">
        <v>54</v>
      </c>
      <c r="H182" s="265">
        <v>48.15</v>
      </c>
      <c r="I182" s="263"/>
      <c r="J182" s="276">
        <f>H182*F182</f>
        <v>8185.5</v>
      </c>
      <c r="K182" s="235"/>
      <c r="L182" s="235"/>
      <c r="M182" s="235"/>
      <c r="N182" s="235"/>
      <c r="O182" s="463"/>
      <c r="P182" s="235"/>
    </row>
    <row r="183" spans="2:16">
      <c r="B183" s="263"/>
      <c r="C183" s="498"/>
      <c r="D183" s="267"/>
      <c r="E183" s="263"/>
      <c r="F183" s="263"/>
      <c r="G183" s="263" t="s">
        <v>1940</v>
      </c>
      <c r="H183" s="263"/>
      <c r="I183" s="499"/>
      <c r="J183" s="276">
        <f>SUM(J140:J182)</f>
        <v>971069.96</v>
      </c>
      <c r="K183" s="164"/>
      <c r="L183" s="235"/>
      <c r="M183" s="164"/>
      <c r="N183" s="164"/>
      <c r="O183" s="472"/>
      <c r="P183" s="164"/>
    </row>
    <row r="184" spans="2:16">
      <c r="B184" s="474"/>
      <c r="C184" s="500"/>
      <c r="D184" s="501"/>
      <c r="E184" s="474"/>
      <c r="F184" s="474"/>
      <c r="G184" s="478"/>
      <c r="H184" s="478"/>
      <c r="I184" s="474"/>
      <c r="J184" s="502"/>
      <c r="K184" s="235"/>
      <c r="L184" s="235"/>
      <c r="M184" s="235"/>
      <c r="N184" s="235"/>
      <c r="O184" s="463"/>
      <c r="P184" s="235"/>
    </row>
    <row r="185" spans="2:16" ht="19.5">
      <c r="B185" s="474"/>
      <c r="C185" s="475" t="s">
        <v>1280</v>
      </c>
      <c r="D185" s="476"/>
      <c r="E185" s="477" t="s">
        <v>491</v>
      </c>
      <c r="F185" s="478"/>
      <c r="G185" s="479"/>
      <c r="H185" s="480"/>
      <c r="I185" s="480"/>
      <c r="J185" s="481"/>
      <c r="K185" s="482"/>
      <c r="L185" s="483"/>
      <c r="M185" s="482"/>
      <c r="N185" s="482"/>
      <c r="O185" s="484"/>
      <c r="P185" s="482"/>
    </row>
    <row r="186" spans="2:16" ht="19.5">
      <c r="B186" s="474"/>
      <c r="C186" s="475"/>
      <c r="D186" s="476"/>
      <c r="E186" s="477"/>
      <c r="F186" s="478"/>
      <c r="G186" s="479"/>
      <c r="H186" s="480"/>
      <c r="I186" s="480"/>
      <c r="J186" s="481"/>
      <c r="K186" s="482"/>
      <c r="L186" s="483"/>
      <c r="M186" s="482"/>
      <c r="N186" s="482"/>
      <c r="O186" s="484"/>
      <c r="P186" s="482"/>
    </row>
    <row r="187" spans="2:16" ht="19.5">
      <c r="B187" s="474"/>
      <c r="C187" s="475"/>
      <c r="D187" s="476"/>
      <c r="E187" s="477"/>
      <c r="F187" s="478"/>
      <c r="G187" s="479"/>
      <c r="H187" s="480"/>
      <c r="I187" s="480"/>
      <c r="J187" s="481"/>
      <c r="K187" s="482"/>
      <c r="L187" s="483"/>
      <c r="M187" s="482"/>
      <c r="N187" s="482"/>
      <c r="O187" s="484"/>
      <c r="P187" s="482"/>
    </row>
    <row r="188" spans="2:16" ht="19.5">
      <c r="B188" s="474"/>
      <c r="C188" s="503" t="s">
        <v>538</v>
      </c>
      <c r="D188" s="465" t="s">
        <v>919</v>
      </c>
      <c r="E188" s="459"/>
      <c r="F188" s="459"/>
      <c r="G188" s="459"/>
      <c r="H188" s="480"/>
      <c r="I188" s="480"/>
      <c r="J188" s="481"/>
      <c r="K188" s="482"/>
      <c r="L188" s="483"/>
      <c r="M188" s="482"/>
      <c r="N188" s="482"/>
      <c r="O188" s="484"/>
      <c r="P188" s="482"/>
    </row>
    <row r="189" spans="2:16" ht="19.5">
      <c r="B189" s="474"/>
      <c r="C189" s="460"/>
      <c r="D189" s="461"/>
      <c r="E189" s="459"/>
      <c r="F189" s="459"/>
      <c r="G189" s="459"/>
      <c r="H189" s="480"/>
      <c r="I189" s="480"/>
      <c r="J189" s="481"/>
      <c r="K189" s="482"/>
      <c r="L189" s="483"/>
      <c r="M189" s="482"/>
      <c r="N189" s="482"/>
      <c r="O189" s="484"/>
      <c r="P189" s="482"/>
    </row>
    <row r="190" spans="2:16" ht="47.25">
      <c r="B190" s="466" t="s">
        <v>1744</v>
      </c>
      <c r="C190" s="467" t="s">
        <v>516</v>
      </c>
      <c r="D190" s="468" t="s">
        <v>920</v>
      </c>
      <c r="E190" s="243" t="s">
        <v>921</v>
      </c>
      <c r="F190" s="243" t="s">
        <v>922</v>
      </c>
      <c r="G190" s="469" t="s">
        <v>1862</v>
      </c>
      <c r="H190" s="469" t="s">
        <v>82</v>
      </c>
      <c r="I190" s="504" t="s">
        <v>663</v>
      </c>
      <c r="J190" s="471" t="s">
        <v>540</v>
      </c>
      <c r="K190" s="505"/>
      <c r="L190" s="506"/>
      <c r="M190" s="505"/>
      <c r="N190" s="505"/>
      <c r="O190" s="507"/>
      <c r="P190" s="505"/>
    </row>
    <row r="191" spans="2:16">
      <c r="B191" s="243">
        <v>1</v>
      </c>
      <c r="C191" s="496" t="s">
        <v>923</v>
      </c>
      <c r="D191" s="508" t="s">
        <v>924</v>
      </c>
      <c r="E191" s="243" t="s">
        <v>493</v>
      </c>
      <c r="F191" s="243">
        <v>2</v>
      </c>
      <c r="G191" s="263"/>
      <c r="H191" s="263">
        <v>234</v>
      </c>
      <c r="I191" s="265"/>
      <c r="J191" s="276">
        <f>F191*H191</f>
        <v>468</v>
      </c>
      <c r="K191" s="505"/>
      <c r="L191" s="506"/>
      <c r="M191" s="505"/>
      <c r="N191" s="505"/>
      <c r="O191" s="507"/>
      <c r="P191" s="505"/>
    </row>
    <row r="192" spans="2:16" ht="115.5">
      <c r="B192" s="243">
        <v>2</v>
      </c>
      <c r="C192" s="496" t="s">
        <v>494</v>
      </c>
      <c r="D192" s="508" t="s">
        <v>925</v>
      </c>
      <c r="E192" s="243" t="s">
        <v>495</v>
      </c>
      <c r="F192" s="243">
        <v>4</v>
      </c>
      <c r="G192" s="244"/>
      <c r="H192" s="244">
        <v>351</v>
      </c>
      <c r="I192" s="244"/>
      <c r="J192" s="276">
        <f>F192*H192</f>
        <v>1404</v>
      </c>
      <c r="K192" s="505"/>
      <c r="L192" s="506"/>
      <c r="M192" s="505"/>
      <c r="N192" s="505"/>
      <c r="O192" s="507"/>
      <c r="P192" s="505"/>
    </row>
    <row r="193" spans="2:17">
      <c r="B193" s="243">
        <v>3</v>
      </c>
      <c r="C193" s="496" t="s">
        <v>926</v>
      </c>
      <c r="D193" s="508" t="s">
        <v>927</v>
      </c>
      <c r="E193" s="243" t="s">
        <v>495</v>
      </c>
      <c r="F193" s="243">
        <v>2</v>
      </c>
      <c r="G193" s="244"/>
      <c r="H193" s="244">
        <v>1394</v>
      </c>
      <c r="I193" s="244"/>
      <c r="J193" s="276">
        <f t="shared" ref="J193:J241" si="6">F193*H193</f>
        <v>2788</v>
      </c>
      <c r="K193" s="505"/>
      <c r="L193" s="506"/>
      <c r="M193" s="505"/>
      <c r="N193" s="505"/>
      <c r="O193" s="507"/>
      <c r="P193" s="505"/>
    </row>
    <row r="194" spans="2:17" s="284" customFormat="1" ht="115.5">
      <c r="B194" s="243">
        <v>4</v>
      </c>
      <c r="C194" s="496" t="s">
        <v>928</v>
      </c>
      <c r="D194" s="508" t="s">
        <v>929</v>
      </c>
      <c r="E194" s="243" t="s">
        <v>495</v>
      </c>
      <c r="F194" s="243">
        <v>4</v>
      </c>
      <c r="G194" s="244"/>
      <c r="H194" s="244">
        <v>351</v>
      </c>
      <c r="I194" s="244"/>
      <c r="J194" s="276">
        <f t="shared" si="6"/>
        <v>1404</v>
      </c>
      <c r="K194" s="505"/>
      <c r="L194" s="506"/>
      <c r="M194" s="505"/>
      <c r="N194" s="505"/>
      <c r="O194" s="507"/>
      <c r="P194" s="505"/>
      <c r="Q194" s="628"/>
    </row>
    <row r="195" spans="2:17" ht="51.75">
      <c r="B195" s="243">
        <v>5</v>
      </c>
      <c r="C195" s="496" t="s">
        <v>930</v>
      </c>
      <c r="D195" s="508" t="s">
        <v>931</v>
      </c>
      <c r="E195" s="243" t="s">
        <v>495</v>
      </c>
      <c r="F195" s="243">
        <v>1</v>
      </c>
      <c r="G195" s="244"/>
      <c r="H195" s="244">
        <v>354</v>
      </c>
      <c r="I195" s="244"/>
      <c r="J195" s="276">
        <f t="shared" si="6"/>
        <v>354</v>
      </c>
      <c r="K195" s="505"/>
      <c r="L195" s="506"/>
      <c r="M195" s="505"/>
      <c r="N195" s="505"/>
      <c r="O195" s="507"/>
      <c r="P195" s="505"/>
    </row>
    <row r="196" spans="2:17" s="324" customFormat="1" ht="78">
      <c r="B196" s="243">
        <v>6</v>
      </c>
      <c r="C196" s="496" t="s">
        <v>496</v>
      </c>
      <c r="D196" s="508" t="s">
        <v>932</v>
      </c>
      <c r="E196" s="243" t="s">
        <v>495</v>
      </c>
      <c r="F196" s="243">
        <v>3</v>
      </c>
      <c r="G196" s="244"/>
      <c r="H196" s="244">
        <v>342</v>
      </c>
      <c r="I196" s="244"/>
      <c r="J196" s="276">
        <f t="shared" si="6"/>
        <v>1026</v>
      </c>
      <c r="K196" s="505"/>
      <c r="L196" s="506"/>
      <c r="M196" s="505"/>
      <c r="N196" s="505"/>
      <c r="O196" s="507"/>
      <c r="P196" s="505"/>
      <c r="Q196" s="628"/>
    </row>
    <row r="197" spans="2:17" s="324" customFormat="1" ht="65.25">
      <c r="B197" s="509">
        <v>7</v>
      </c>
      <c r="C197" s="496" t="s">
        <v>933</v>
      </c>
      <c r="D197" s="510" t="s">
        <v>934</v>
      </c>
      <c r="E197" s="509" t="s">
        <v>935</v>
      </c>
      <c r="F197" s="243">
        <v>5</v>
      </c>
      <c r="G197" s="244"/>
      <c r="H197" s="244">
        <v>160</v>
      </c>
      <c r="I197" s="244"/>
      <c r="J197" s="276">
        <f t="shared" si="6"/>
        <v>800</v>
      </c>
      <c r="K197" s="505"/>
      <c r="L197" s="506"/>
      <c r="M197" s="505"/>
      <c r="N197" s="505"/>
      <c r="O197" s="507"/>
      <c r="P197" s="505"/>
      <c r="Q197" s="628"/>
    </row>
    <row r="198" spans="2:17" s="324" customFormat="1" ht="65.25">
      <c r="B198" s="243">
        <v>8</v>
      </c>
      <c r="C198" s="496" t="s">
        <v>936</v>
      </c>
      <c r="D198" s="508" t="s">
        <v>937</v>
      </c>
      <c r="E198" s="243" t="s">
        <v>1864</v>
      </c>
      <c r="F198" s="243">
        <v>1</v>
      </c>
      <c r="G198" s="244"/>
      <c r="H198" s="244">
        <v>520</v>
      </c>
      <c r="I198" s="244"/>
      <c r="J198" s="276">
        <f t="shared" si="6"/>
        <v>520</v>
      </c>
      <c r="K198" s="505"/>
      <c r="L198" s="506"/>
      <c r="M198" s="505"/>
      <c r="N198" s="505"/>
      <c r="O198" s="507"/>
      <c r="P198" s="505"/>
      <c r="Q198" s="628"/>
    </row>
    <row r="199" spans="2:17" s="324" customFormat="1" ht="65.25">
      <c r="B199" s="243">
        <v>9</v>
      </c>
      <c r="C199" s="496" t="s">
        <v>938</v>
      </c>
      <c r="D199" s="508" t="s">
        <v>939</v>
      </c>
      <c r="E199" s="243" t="s">
        <v>495</v>
      </c>
      <c r="F199" s="243">
        <v>20</v>
      </c>
      <c r="G199" s="244"/>
      <c r="H199" s="244">
        <v>251</v>
      </c>
      <c r="I199" s="244"/>
      <c r="J199" s="276">
        <f t="shared" si="6"/>
        <v>5020</v>
      </c>
      <c r="K199" s="505"/>
      <c r="L199" s="506"/>
      <c r="M199" s="505"/>
      <c r="N199" s="505"/>
      <c r="O199" s="507"/>
      <c r="P199" s="505"/>
      <c r="Q199" s="628"/>
    </row>
    <row r="200" spans="2:17" s="324" customFormat="1" ht="116.25">
      <c r="B200" s="243">
        <v>10</v>
      </c>
      <c r="C200" s="496" t="s">
        <v>497</v>
      </c>
      <c r="D200" s="508" t="s">
        <v>940</v>
      </c>
      <c r="E200" s="243" t="s">
        <v>495</v>
      </c>
      <c r="F200" s="243">
        <v>50</v>
      </c>
      <c r="G200" s="244"/>
      <c r="H200" s="244">
        <v>396</v>
      </c>
      <c r="I200" s="244"/>
      <c r="J200" s="276">
        <f t="shared" si="6"/>
        <v>19800</v>
      </c>
      <c r="K200" s="505"/>
      <c r="L200" s="506"/>
      <c r="M200" s="505"/>
      <c r="N200" s="505"/>
      <c r="O200" s="507"/>
      <c r="P200" s="505"/>
      <c r="Q200" s="628"/>
    </row>
    <row r="201" spans="2:17" s="326" customFormat="1">
      <c r="B201" s="243">
        <v>11</v>
      </c>
      <c r="C201" s="496" t="s">
        <v>941</v>
      </c>
      <c r="D201" s="508" t="s">
        <v>942</v>
      </c>
      <c r="E201" s="243" t="s">
        <v>495</v>
      </c>
      <c r="F201" s="243">
        <v>50</v>
      </c>
      <c r="G201" s="244"/>
      <c r="H201" s="244">
        <v>112</v>
      </c>
      <c r="I201" s="244"/>
      <c r="J201" s="276">
        <f t="shared" si="6"/>
        <v>5600</v>
      </c>
      <c r="K201" s="505"/>
      <c r="L201" s="506"/>
      <c r="M201" s="505"/>
      <c r="N201" s="505"/>
      <c r="O201" s="507"/>
      <c r="P201" s="505"/>
    </row>
    <row r="202" spans="2:17" s="326" customFormat="1" ht="115.5">
      <c r="B202" s="243">
        <v>12</v>
      </c>
      <c r="C202" s="496" t="s">
        <v>636</v>
      </c>
      <c r="D202" s="508" t="s">
        <v>943</v>
      </c>
      <c r="E202" s="243" t="s">
        <v>1864</v>
      </c>
      <c r="F202" s="243">
        <v>1</v>
      </c>
      <c r="G202" s="244"/>
      <c r="H202" s="244">
        <v>3058</v>
      </c>
      <c r="I202" s="244"/>
      <c r="J202" s="276">
        <f t="shared" si="6"/>
        <v>3058</v>
      </c>
      <c r="K202" s="505"/>
      <c r="L202" s="506"/>
      <c r="M202" s="505"/>
      <c r="N202" s="505"/>
      <c r="O202" s="507"/>
      <c r="P202" s="505"/>
    </row>
    <row r="203" spans="2:17" s="326" customFormat="1" ht="26.25">
      <c r="B203" s="243">
        <v>13</v>
      </c>
      <c r="C203" s="496" t="s">
        <v>944</v>
      </c>
      <c r="D203" s="508" t="s">
        <v>945</v>
      </c>
      <c r="E203" s="243" t="s">
        <v>946</v>
      </c>
      <c r="F203" s="243">
        <v>2</v>
      </c>
      <c r="G203" s="244"/>
      <c r="H203" s="244">
        <v>573</v>
      </c>
      <c r="I203" s="244"/>
      <c r="J203" s="511">
        <f t="shared" si="6"/>
        <v>1146</v>
      </c>
      <c r="K203" s="505"/>
      <c r="L203" s="506"/>
      <c r="M203" s="505"/>
      <c r="N203" s="505"/>
      <c r="O203" s="507"/>
      <c r="P203" s="505"/>
    </row>
    <row r="204" spans="2:17" s="326" customFormat="1" ht="77.25">
      <c r="B204" s="243">
        <v>14</v>
      </c>
      <c r="C204" s="496" t="s">
        <v>498</v>
      </c>
      <c r="D204" s="508" t="s">
        <v>947</v>
      </c>
      <c r="E204" s="243" t="s">
        <v>495</v>
      </c>
      <c r="F204" s="243">
        <v>1</v>
      </c>
      <c r="G204" s="244"/>
      <c r="H204" s="244">
        <v>425</v>
      </c>
      <c r="I204" s="244"/>
      <c r="J204" s="511">
        <f t="shared" si="6"/>
        <v>425</v>
      </c>
      <c r="K204" s="505"/>
      <c r="L204" s="506"/>
      <c r="M204" s="505"/>
      <c r="N204" s="505"/>
      <c r="O204" s="507"/>
      <c r="P204" s="505"/>
    </row>
    <row r="205" spans="2:17" s="326" customFormat="1" ht="64.5">
      <c r="B205" s="243">
        <v>15</v>
      </c>
      <c r="C205" s="496" t="s">
        <v>499</v>
      </c>
      <c r="D205" s="508" t="s">
        <v>948</v>
      </c>
      <c r="E205" s="243" t="s">
        <v>495</v>
      </c>
      <c r="F205" s="243">
        <v>1</v>
      </c>
      <c r="G205" s="244"/>
      <c r="H205" s="244">
        <v>464</v>
      </c>
      <c r="I205" s="244"/>
      <c r="J205" s="511">
        <f t="shared" si="6"/>
        <v>464</v>
      </c>
      <c r="K205" s="505"/>
      <c r="L205" s="506"/>
      <c r="M205" s="505"/>
      <c r="N205" s="505"/>
      <c r="O205" s="507"/>
      <c r="P205" s="505"/>
    </row>
    <row r="206" spans="2:17" s="326" customFormat="1">
      <c r="B206" s="509">
        <v>16</v>
      </c>
      <c r="C206" s="512" t="s">
        <v>637</v>
      </c>
      <c r="D206" s="510" t="s">
        <v>949</v>
      </c>
      <c r="E206" s="509" t="s">
        <v>1864</v>
      </c>
      <c r="F206" s="509">
        <v>5</v>
      </c>
      <c r="G206" s="244"/>
      <c r="H206" s="244">
        <v>1279</v>
      </c>
      <c r="I206" s="244"/>
      <c r="J206" s="511">
        <f t="shared" si="6"/>
        <v>6395</v>
      </c>
      <c r="K206" s="505"/>
      <c r="L206" s="506"/>
      <c r="M206" s="505"/>
      <c r="N206" s="505"/>
      <c r="O206" s="507"/>
      <c r="P206" s="505"/>
    </row>
    <row r="207" spans="2:17" s="326" customFormat="1">
      <c r="B207" s="243">
        <v>17</v>
      </c>
      <c r="C207" s="496" t="s">
        <v>500</v>
      </c>
      <c r="D207" s="508" t="s">
        <v>924</v>
      </c>
      <c r="E207" s="243" t="s">
        <v>950</v>
      </c>
      <c r="F207" s="243">
        <v>1</v>
      </c>
      <c r="G207" s="244"/>
      <c r="H207" s="244">
        <v>217</v>
      </c>
      <c r="I207" s="244"/>
      <c r="J207" s="511">
        <f t="shared" si="6"/>
        <v>217</v>
      </c>
      <c r="K207" s="505"/>
      <c r="L207" s="506"/>
      <c r="M207" s="505"/>
      <c r="N207" s="505"/>
      <c r="O207" s="507"/>
      <c r="P207" s="505"/>
    </row>
    <row r="208" spans="2:17" s="326" customFormat="1" ht="77.25">
      <c r="B208" s="243">
        <v>18</v>
      </c>
      <c r="C208" s="496" t="s">
        <v>501</v>
      </c>
      <c r="D208" s="508" t="s">
        <v>951</v>
      </c>
      <c r="E208" s="243" t="s">
        <v>495</v>
      </c>
      <c r="F208" s="243">
        <v>1</v>
      </c>
      <c r="G208" s="244"/>
      <c r="H208" s="244">
        <v>378</v>
      </c>
      <c r="I208" s="244"/>
      <c r="J208" s="511">
        <f t="shared" si="6"/>
        <v>378</v>
      </c>
      <c r="K208" s="505"/>
      <c r="L208" s="506"/>
      <c r="M208" s="505"/>
      <c r="N208" s="505"/>
      <c r="O208" s="507"/>
      <c r="P208" s="505"/>
    </row>
    <row r="209" spans="2:16" s="326" customFormat="1" ht="90">
      <c r="B209" s="243">
        <v>19</v>
      </c>
      <c r="C209" s="496" t="s">
        <v>502</v>
      </c>
      <c r="D209" s="508" t="s">
        <v>952</v>
      </c>
      <c r="E209" s="243" t="s">
        <v>495</v>
      </c>
      <c r="F209" s="243">
        <v>2</v>
      </c>
      <c r="G209" s="244"/>
      <c r="H209" s="244">
        <v>556</v>
      </c>
      <c r="I209" s="244"/>
      <c r="J209" s="511">
        <f t="shared" si="6"/>
        <v>1112</v>
      </c>
      <c r="K209" s="505"/>
      <c r="L209" s="506"/>
      <c r="M209" s="505"/>
      <c r="N209" s="505"/>
      <c r="O209" s="507"/>
      <c r="P209" s="505"/>
    </row>
    <row r="210" spans="2:16" s="326" customFormat="1" ht="39">
      <c r="B210" s="243">
        <v>20</v>
      </c>
      <c r="C210" s="496" t="s">
        <v>503</v>
      </c>
      <c r="D210" s="508" t="s">
        <v>953</v>
      </c>
      <c r="E210" s="243" t="s">
        <v>504</v>
      </c>
      <c r="F210" s="243">
        <v>3</v>
      </c>
      <c r="G210" s="244"/>
      <c r="H210" s="244">
        <v>1145</v>
      </c>
      <c r="I210" s="244"/>
      <c r="J210" s="511">
        <f t="shared" si="6"/>
        <v>3435</v>
      </c>
      <c r="K210" s="505"/>
      <c r="L210" s="506"/>
      <c r="M210" s="505"/>
      <c r="N210" s="505"/>
      <c r="O210" s="507"/>
      <c r="P210" s="505"/>
    </row>
    <row r="211" spans="2:16" s="326" customFormat="1" ht="77.25">
      <c r="B211" s="243">
        <v>21</v>
      </c>
      <c r="C211" s="496" t="s">
        <v>954</v>
      </c>
      <c r="D211" s="508" t="s">
        <v>955</v>
      </c>
      <c r="E211" s="243" t="s">
        <v>1864</v>
      </c>
      <c r="F211" s="243">
        <v>3</v>
      </c>
      <c r="G211" s="244"/>
      <c r="H211" s="244">
        <v>378</v>
      </c>
      <c r="I211" s="244"/>
      <c r="J211" s="511">
        <f t="shared" si="6"/>
        <v>1134</v>
      </c>
      <c r="K211" s="505"/>
      <c r="L211" s="506"/>
      <c r="M211" s="505"/>
      <c r="N211" s="505"/>
      <c r="O211" s="507"/>
      <c r="P211" s="505"/>
    </row>
    <row r="212" spans="2:16" s="326" customFormat="1" ht="26.25">
      <c r="B212" s="243">
        <v>22</v>
      </c>
      <c r="C212" s="496" t="s">
        <v>956</v>
      </c>
      <c r="D212" s="508" t="s">
        <v>957</v>
      </c>
      <c r="E212" s="243" t="s">
        <v>958</v>
      </c>
      <c r="F212" s="243">
        <v>2</v>
      </c>
      <c r="G212" s="244"/>
      <c r="H212" s="244">
        <v>792</v>
      </c>
      <c r="I212" s="244"/>
      <c r="J212" s="511">
        <f t="shared" si="6"/>
        <v>1584</v>
      </c>
      <c r="K212" s="505"/>
      <c r="L212" s="506"/>
      <c r="M212" s="505"/>
      <c r="N212" s="505"/>
      <c r="O212" s="507"/>
      <c r="P212" s="505"/>
    </row>
    <row r="213" spans="2:16" s="326" customFormat="1" ht="64.5">
      <c r="B213" s="243">
        <v>23</v>
      </c>
      <c r="C213" s="496" t="s">
        <v>959</v>
      </c>
      <c r="D213" s="508" t="s">
        <v>960</v>
      </c>
      <c r="E213" s="243" t="s">
        <v>935</v>
      </c>
      <c r="F213" s="243">
        <v>20</v>
      </c>
      <c r="G213" s="244"/>
      <c r="H213" s="244">
        <v>291</v>
      </c>
      <c r="I213" s="244"/>
      <c r="J213" s="511">
        <f t="shared" si="6"/>
        <v>5820</v>
      </c>
      <c r="K213" s="505"/>
      <c r="L213" s="506"/>
      <c r="M213" s="505"/>
      <c r="N213" s="505"/>
      <c r="O213" s="507"/>
      <c r="P213" s="505"/>
    </row>
    <row r="214" spans="2:16" s="326" customFormat="1" ht="77.25">
      <c r="B214" s="243">
        <v>24</v>
      </c>
      <c r="C214" s="496" t="s">
        <v>961</v>
      </c>
      <c r="D214" s="508" t="s">
        <v>962</v>
      </c>
      <c r="E214" s="243" t="s">
        <v>935</v>
      </c>
      <c r="F214" s="243">
        <v>15</v>
      </c>
      <c r="G214" s="244"/>
      <c r="H214" s="244">
        <v>97</v>
      </c>
      <c r="I214" s="244"/>
      <c r="J214" s="511">
        <f t="shared" si="6"/>
        <v>1455</v>
      </c>
      <c r="K214" s="505"/>
      <c r="L214" s="506"/>
      <c r="M214" s="505"/>
      <c r="N214" s="505"/>
      <c r="O214" s="507"/>
      <c r="P214" s="505"/>
    </row>
    <row r="215" spans="2:16" s="326" customFormat="1" ht="77.25">
      <c r="B215" s="243">
        <v>25</v>
      </c>
      <c r="C215" s="496" t="s">
        <v>963</v>
      </c>
      <c r="D215" s="508" t="s">
        <v>964</v>
      </c>
      <c r="E215" s="243" t="s">
        <v>935</v>
      </c>
      <c r="F215" s="243">
        <v>15</v>
      </c>
      <c r="G215" s="244"/>
      <c r="H215" s="244">
        <v>97</v>
      </c>
      <c r="I215" s="244"/>
      <c r="J215" s="511">
        <f t="shared" si="6"/>
        <v>1455</v>
      </c>
      <c r="K215" s="505"/>
      <c r="L215" s="506"/>
      <c r="M215" s="505"/>
      <c r="N215" s="505"/>
      <c r="O215" s="507"/>
      <c r="P215" s="505"/>
    </row>
    <row r="216" spans="2:16" s="326" customFormat="1" ht="77.25">
      <c r="B216" s="243">
        <v>26</v>
      </c>
      <c r="C216" s="496" t="s">
        <v>965</v>
      </c>
      <c r="D216" s="508" t="s">
        <v>966</v>
      </c>
      <c r="E216" s="243" t="s">
        <v>935</v>
      </c>
      <c r="F216" s="243">
        <v>1</v>
      </c>
      <c r="G216" s="244"/>
      <c r="H216" s="244">
        <v>848</v>
      </c>
      <c r="I216" s="244"/>
      <c r="J216" s="511">
        <f t="shared" si="6"/>
        <v>848</v>
      </c>
      <c r="K216" s="505"/>
      <c r="L216" s="506"/>
      <c r="M216" s="505"/>
      <c r="N216" s="505"/>
      <c r="O216" s="507"/>
      <c r="P216" s="505"/>
    </row>
    <row r="217" spans="2:16" s="326" customFormat="1" ht="26.25">
      <c r="B217" s="243">
        <v>27</v>
      </c>
      <c r="C217" s="496" t="s">
        <v>967</v>
      </c>
      <c r="D217" s="508" t="s">
        <v>968</v>
      </c>
      <c r="E217" s="243" t="s">
        <v>935</v>
      </c>
      <c r="F217" s="243">
        <v>8</v>
      </c>
      <c r="G217" s="244"/>
      <c r="H217" s="244">
        <v>313</v>
      </c>
      <c r="I217" s="244"/>
      <c r="J217" s="511">
        <f t="shared" si="6"/>
        <v>2504</v>
      </c>
      <c r="K217" s="505"/>
      <c r="L217" s="506"/>
      <c r="M217" s="505"/>
      <c r="N217" s="505"/>
      <c r="O217" s="507"/>
      <c r="P217" s="505"/>
    </row>
    <row r="218" spans="2:16" s="326" customFormat="1">
      <c r="B218" s="243">
        <v>28</v>
      </c>
      <c r="C218" s="496" t="s">
        <v>969</v>
      </c>
      <c r="D218" s="508" t="s">
        <v>970</v>
      </c>
      <c r="E218" s="243" t="s">
        <v>950</v>
      </c>
      <c r="F218" s="243">
        <v>3</v>
      </c>
      <c r="G218" s="244"/>
      <c r="H218" s="244">
        <v>361</v>
      </c>
      <c r="I218" s="244"/>
      <c r="J218" s="511">
        <f t="shared" si="6"/>
        <v>1083</v>
      </c>
      <c r="K218" s="505"/>
      <c r="L218" s="506"/>
      <c r="M218" s="505"/>
      <c r="N218" s="505"/>
      <c r="O218" s="507"/>
      <c r="P218" s="505"/>
    </row>
    <row r="219" spans="2:16" s="326" customFormat="1" ht="26.25">
      <c r="B219" s="243">
        <v>29</v>
      </c>
      <c r="C219" s="496" t="s">
        <v>971</v>
      </c>
      <c r="D219" s="508" t="s">
        <v>972</v>
      </c>
      <c r="E219" s="243" t="s">
        <v>950</v>
      </c>
      <c r="F219" s="243">
        <v>3</v>
      </c>
      <c r="G219" s="244"/>
      <c r="H219" s="244">
        <v>361</v>
      </c>
      <c r="I219" s="244"/>
      <c r="J219" s="511">
        <f t="shared" si="6"/>
        <v>1083</v>
      </c>
      <c r="K219" s="505"/>
      <c r="L219" s="506"/>
      <c r="M219" s="505"/>
      <c r="N219" s="505"/>
      <c r="O219" s="507"/>
      <c r="P219" s="505"/>
    </row>
    <row r="220" spans="2:16" s="326" customFormat="1" ht="90">
      <c r="B220" s="243">
        <v>30</v>
      </c>
      <c r="C220" s="496" t="s">
        <v>973</v>
      </c>
      <c r="D220" s="513" t="s">
        <v>974</v>
      </c>
      <c r="E220" s="243" t="s">
        <v>495</v>
      </c>
      <c r="F220" s="243">
        <v>5</v>
      </c>
      <c r="G220" s="244"/>
      <c r="H220" s="244">
        <v>752</v>
      </c>
      <c r="I220" s="244"/>
      <c r="J220" s="511">
        <f t="shared" si="6"/>
        <v>3760</v>
      </c>
      <c r="K220" s="505"/>
      <c r="L220" s="506"/>
      <c r="M220" s="505"/>
      <c r="N220" s="505"/>
      <c r="O220" s="507"/>
      <c r="P220" s="505"/>
    </row>
    <row r="221" spans="2:16" s="326" customFormat="1" ht="26.25">
      <c r="B221" s="243">
        <v>31</v>
      </c>
      <c r="C221" s="496" t="s">
        <v>975</v>
      </c>
      <c r="D221" s="508" t="s">
        <v>976</v>
      </c>
      <c r="E221" s="243" t="s">
        <v>935</v>
      </c>
      <c r="F221" s="243">
        <v>1</v>
      </c>
      <c r="G221" s="244"/>
      <c r="H221" s="244">
        <v>2372</v>
      </c>
      <c r="I221" s="244"/>
      <c r="J221" s="511">
        <f t="shared" si="6"/>
        <v>2372</v>
      </c>
      <c r="K221" s="505"/>
      <c r="L221" s="506"/>
      <c r="M221" s="505"/>
      <c r="N221" s="505"/>
      <c r="O221" s="507"/>
      <c r="P221" s="505"/>
    </row>
    <row r="222" spans="2:16" s="326" customFormat="1" ht="26.25">
      <c r="B222" s="243">
        <v>32</v>
      </c>
      <c r="C222" s="496" t="s">
        <v>505</v>
      </c>
      <c r="D222" s="508" t="s">
        <v>976</v>
      </c>
      <c r="E222" s="243" t="s">
        <v>935</v>
      </c>
      <c r="F222" s="243">
        <v>5</v>
      </c>
      <c r="G222" s="244"/>
      <c r="H222" s="244">
        <v>126</v>
      </c>
      <c r="I222" s="244"/>
      <c r="J222" s="511">
        <f t="shared" si="6"/>
        <v>630</v>
      </c>
      <c r="K222" s="505"/>
      <c r="L222" s="506"/>
      <c r="M222" s="505"/>
      <c r="N222" s="505"/>
      <c r="O222" s="507"/>
      <c r="P222" s="505"/>
    </row>
    <row r="223" spans="2:16" s="326" customFormat="1" ht="26.25">
      <c r="B223" s="243">
        <v>33</v>
      </c>
      <c r="C223" s="496" t="s">
        <v>506</v>
      </c>
      <c r="D223" s="508" t="s">
        <v>976</v>
      </c>
      <c r="E223" s="243" t="s">
        <v>507</v>
      </c>
      <c r="F223" s="243">
        <v>1</v>
      </c>
      <c r="G223" s="244"/>
      <c r="H223" s="244">
        <v>1897</v>
      </c>
      <c r="I223" s="244"/>
      <c r="J223" s="276">
        <f t="shared" si="6"/>
        <v>1897</v>
      </c>
      <c r="K223" s="505"/>
      <c r="L223" s="506"/>
      <c r="M223" s="505"/>
      <c r="N223" s="505"/>
      <c r="O223" s="507"/>
      <c r="P223" s="505"/>
    </row>
    <row r="224" spans="2:16" s="326" customFormat="1" ht="26.25">
      <c r="B224" s="243">
        <v>34</v>
      </c>
      <c r="C224" s="496" t="s">
        <v>508</v>
      </c>
      <c r="D224" s="508" t="s">
        <v>977</v>
      </c>
      <c r="E224" s="243" t="s">
        <v>493</v>
      </c>
      <c r="F224" s="243">
        <v>4</v>
      </c>
      <c r="G224" s="244"/>
      <c r="H224" s="244">
        <v>1807</v>
      </c>
      <c r="I224" s="244"/>
      <c r="J224" s="276">
        <f t="shared" si="6"/>
        <v>7228</v>
      </c>
      <c r="K224" s="505"/>
      <c r="L224" s="506"/>
      <c r="M224" s="505"/>
      <c r="N224" s="505"/>
      <c r="O224" s="507"/>
      <c r="P224" s="505"/>
    </row>
    <row r="225" spans="2:16" s="326" customFormat="1">
      <c r="B225" s="243">
        <v>35</v>
      </c>
      <c r="C225" s="496" t="s">
        <v>978</v>
      </c>
      <c r="D225" s="508" t="s">
        <v>979</v>
      </c>
      <c r="E225" s="243" t="s">
        <v>495</v>
      </c>
      <c r="F225" s="243">
        <v>1</v>
      </c>
      <c r="G225" s="244"/>
      <c r="H225" s="244">
        <v>2602</v>
      </c>
      <c r="I225" s="244"/>
      <c r="J225" s="276">
        <f t="shared" si="6"/>
        <v>2602</v>
      </c>
      <c r="K225" s="505"/>
      <c r="L225" s="506"/>
      <c r="M225" s="505"/>
      <c r="N225" s="505"/>
      <c r="O225" s="507"/>
      <c r="P225" s="505"/>
    </row>
    <row r="226" spans="2:16" s="326" customFormat="1">
      <c r="B226" s="243">
        <v>36</v>
      </c>
      <c r="C226" s="496" t="s">
        <v>509</v>
      </c>
      <c r="D226" s="508" t="s">
        <v>980</v>
      </c>
      <c r="E226" s="243" t="s">
        <v>1864</v>
      </c>
      <c r="F226" s="243">
        <v>100</v>
      </c>
      <c r="G226" s="244"/>
      <c r="H226" s="244">
        <v>64</v>
      </c>
      <c r="I226" s="244"/>
      <c r="J226" s="276">
        <f t="shared" si="6"/>
        <v>6400</v>
      </c>
      <c r="K226" s="505"/>
      <c r="L226" s="506"/>
      <c r="M226" s="505"/>
      <c r="N226" s="505"/>
      <c r="O226" s="507"/>
      <c r="P226" s="505"/>
    </row>
    <row r="227" spans="2:16" s="326" customFormat="1">
      <c r="B227" s="243">
        <v>37</v>
      </c>
      <c r="C227" s="496" t="s">
        <v>981</v>
      </c>
      <c r="D227" s="508" t="s">
        <v>982</v>
      </c>
      <c r="E227" s="243" t="s">
        <v>958</v>
      </c>
      <c r="F227" s="243">
        <v>0.1</v>
      </c>
      <c r="G227" s="244"/>
      <c r="H227" s="244">
        <v>5838</v>
      </c>
      <c r="I227" s="244"/>
      <c r="J227" s="276">
        <f t="shared" si="6"/>
        <v>583.80000000000007</v>
      </c>
      <c r="K227" s="505"/>
      <c r="L227" s="506"/>
      <c r="M227" s="505"/>
      <c r="N227" s="505"/>
      <c r="O227" s="507"/>
      <c r="P227" s="505"/>
    </row>
    <row r="228" spans="2:16" s="326" customFormat="1">
      <c r="B228" s="243">
        <v>38</v>
      </c>
      <c r="C228" s="496" t="s">
        <v>983</v>
      </c>
      <c r="D228" s="508" t="s">
        <v>984</v>
      </c>
      <c r="E228" s="243" t="s">
        <v>985</v>
      </c>
      <c r="F228" s="243">
        <v>1</v>
      </c>
      <c r="G228" s="244"/>
      <c r="H228" s="244">
        <v>334</v>
      </c>
      <c r="I228" s="244"/>
      <c r="J228" s="276">
        <f t="shared" si="6"/>
        <v>334</v>
      </c>
      <c r="K228" s="505"/>
      <c r="L228" s="506"/>
      <c r="M228" s="505"/>
      <c r="N228" s="505"/>
      <c r="O228" s="507"/>
      <c r="P228" s="505"/>
    </row>
    <row r="229" spans="2:16" s="326" customFormat="1">
      <c r="B229" s="243">
        <v>39</v>
      </c>
      <c r="C229" s="496" t="s">
        <v>510</v>
      </c>
      <c r="D229" s="508" t="s">
        <v>986</v>
      </c>
      <c r="E229" s="243" t="s">
        <v>1864</v>
      </c>
      <c r="F229" s="243">
        <v>1</v>
      </c>
      <c r="G229" s="244"/>
      <c r="H229" s="244">
        <v>327</v>
      </c>
      <c r="I229" s="244"/>
      <c r="J229" s="276">
        <f t="shared" si="6"/>
        <v>327</v>
      </c>
      <c r="K229" s="505"/>
      <c r="L229" s="506"/>
      <c r="M229" s="505"/>
      <c r="N229" s="505"/>
      <c r="O229" s="507"/>
      <c r="P229" s="505"/>
    </row>
    <row r="230" spans="2:16" s="326" customFormat="1" ht="26.25">
      <c r="B230" s="243">
        <v>40</v>
      </c>
      <c r="C230" s="496" t="s">
        <v>511</v>
      </c>
      <c r="D230" s="508" t="s">
        <v>987</v>
      </c>
      <c r="E230" s="243" t="s">
        <v>1864</v>
      </c>
      <c r="F230" s="243">
        <v>1</v>
      </c>
      <c r="G230" s="244"/>
      <c r="H230" s="244">
        <v>544</v>
      </c>
      <c r="I230" s="244"/>
      <c r="J230" s="276">
        <f t="shared" si="6"/>
        <v>544</v>
      </c>
      <c r="K230" s="505"/>
      <c r="L230" s="506"/>
      <c r="M230" s="505"/>
      <c r="N230" s="505"/>
      <c r="O230" s="507"/>
      <c r="P230" s="505"/>
    </row>
    <row r="231" spans="2:16" s="326" customFormat="1">
      <c r="B231" s="243">
        <v>41</v>
      </c>
      <c r="C231" s="496" t="s">
        <v>512</v>
      </c>
      <c r="D231" s="508" t="s">
        <v>988</v>
      </c>
      <c r="E231" s="243" t="s">
        <v>1864</v>
      </c>
      <c r="F231" s="243">
        <v>1</v>
      </c>
      <c r="G231" s="244"/>
      <c r="H231" s="244">
        <v>223</v>
      </c>
      <c r="I231" s="244"/>
      <c r="J231" s="276">
        <f t="shared" si="6"/>
        <v>223</v>
      </c>
      <c r="K231" s="505"/>
      <c r="L231" s="506"/>
      <c r="M231" s="505"/>
      <c r="N231" s="505"/>
      <c r="O231" s="507"/>
      <c r="P231" s="505"/>
    </row>
    <row r="232" spans="2:16" s="326" customFormat="1">
      <c r="B232" s="243">
        <v>42</v>
      </c>
      <c r="C232" s="496" t="s">
        <v>513</v>
      </c>
      <c r="D232" s="508" t="s">
        <v>989</v>
      </c>
      <c r="E232" s="243" t="s">
        <v>1864</v>
      </c>
      <c r="F232" s="243">
        <v>10</v>
      </c>
      <c r="G232" s="244"/>
      <c r="H232" s="244">
        <v>49</v>
      </c>
      <c r="I232" s="244"/>
      <c r="J232" s="276">
        <f t="shared" si="6"/>
        <v>490</v>
      </c>
      <c r="K232" s="505"/>
      <c r="L232" s="506"/>
      <c r="M232" s="505"/>
      <c r="N232" s="505"/>
      <c r="O232" s="507"/>
      <c r="P232" s="505"/>
    </row>
    <row r="233" spans="2:16" s="326" customFormat="1" ht="26.25">
      <c r="B233" s="243">
        <v>43</v>
      </c>
      <c r="C233" s="496" t="s">
        <v>990</v>
      </c>
      <c r="D233" s="508" t="s">
        <v>991</v>
      </c>
      <c r="E233" s="243" t="s">
        <v>1864</v>
      </c>
      <c r="F233" s="243">
        <v>2</v>
      </c>
      <c r="G233" s="244"/>
      <c r="H233" s="244">
        <v>383</v>
      </c>
      <c r="I233" s="244"/>
      <c r="J233" s="276">
        <f t="shared" si="6"/>
        <v>766</v>
      </c>
      <c r="K233" s="505"/>
      <c r="L233" s="506"/>
      <c r="M233" s="505"/>
      <c r="N233" s="505"/>
      <c r="O233" s="507"/>
      <c r="P233" s="505"/>
    </row>
    <row r="234" spans="2:16" s="326" customFormat="1">
      <c r="B234" s="243">
        <v>44</v>
      </c>
      <c r="C234" s="496" t="s">
        <v>0</v>
      </c>
      <c r="D234" s="508" t="s">
        <v>1</v>
      </c>
      <c r="E234" s="243" t="s">
        <v>1864</v>
      </c>
      <c r="F234" s="243">
        <v>1</v>
      </c>
      <c r="G234" s="244"/>
      <c r="H234" s="244">
        <v>6570</v>
      </c>
      <c r="I234" s="244"/>
      <c r="J234" s="276">
        <f t="shared" si="6"/>
        <v>6570</v>
      </c>
      <c r="K234" s="505"/>
      <c r="L234" s="506"/>
      <c r="M234" s="505"/>
      <c r="N234" s="505"/>
      <c r="O234" s="507"/>
      <c r="P234" s="505"/>
    </row>
    <row r="235" spans="2:16" s="326" customFormat="1">
      <c r="B235" s="243">
        <v>45</v>
      </c>
      <c r="C235" s="496" t="s">
        <v>2</v>
      </c>
      <c r="D235" s="508" t="s">
        <v>3</v>
      </c>
      <c r="E235" s="243" t="s">
        <v>1864</v>
      </c>
      <c r="F235" s="243">
        <v>1</v>
      </c>
      <c r="G235" s="244"/>
      <c r="H235" s="244">
        <v>7150</v>
      </c>
      <c r="I235" s="244"/>
      <c r="J235" s="276">
        <f t="shared" si="6"/>
        <v>7150</v>
      </c>
      <c r="K235" s="505"/>
      <c r="L235" s="506"/>
      <c r="M235" s="505"/>
      <c r="N235" s="505"/>
      <c r="O235" s="507"/>
      <c r="P235" s="505"/>
    </row>
    <row r="236" spans="2:16" s="326" customFormat="1">
      <c r="B236" s="243">
        <v>46</v>
      </c>
      <c r="C236" s="496" t="s">
        <v>4</v>
      </c>
      <c r="D236" s="508" t="s">
        <v>5</v>
      </c>
      <c r="E236" s="243" t="s">
        <v>1864</v>
      </c>
      <c r="F236" s="243">
        <v>1</v>
      </c>
      <c r="G236" s="244"/>
      <c r="H236" s="244">
        <v>3672</v>
      </c>
      <c r="I236" s="244"/>
      <c r="J236" s="276">
        <f t="shared" si="6"/>
        <v>3672</v>
      </c>
      <c r="K236" s="505"/>
      <c r="L236" s="506"/>
      <c r="M236" s="505"/>
      <c r="N236" s="505"/>
      <c r="O236" s="507"/>
      <c r="P236" s="505"/>
    </row>
    <row r="237" spans="2:16" s="326" customFormat="1">
      <c r="B237" s="243">
        <v>47</v>
      </c>
      <c r="C237" s="496" t="s">
        <v>6</v>
      </c>
      <c r="D237" s="508" t="s">
        <v>7</v>
      </c>
      <c r="E237" s="243" t="s">
        <v>1864</v>
      </c>
      <c r="F237" s="243">
        <v>1</v>
      </c>
      <c r="G237" s="244"/>
      <c r="H237" s="244">
        <v>3865</v>
      </c>
      <c r="I237" s="244"/>
      <c r="J237" s="276">
        <f t="shared" si="6"/>
        <v>3865</v>
      </c>
      <c r="K237" s="505"/>
      <c r="L237" s="506"/>
      <c r="M237" s="505"/>
      <c r="N237" s="505"/>
      <c r="O237" s="507"/>
      <c r="P237" s="505"/>
    </row>
    <row r="238" spans="2:16" s="326" customFormat="1">
      <c r="B238" s="243">
        <v>48</v>
      </c>
      <c r="C238" s="496" t="s">
        <v>8</v>
      </c>
      <c r="D238" s="508" t="s">
        <v>9</v>
      </c>
      <c r="E238" s="243" t="s">
        <v>1864</v>
      </c>
      <c r="F238" s="243">
        <v>1</v>
      </c>
      <c r="G238" s="244"/>
      <c r="H238" s="244">
        <v>3853</v>
      </c>
      <c r="I238" s="244"/>
      <c r="J238" s="276">
        <f t="shared" si="6"/>
        <v>3853</v>
      </c>
      <c r="K238" s="505"/>
      <c r="L238" s="506"/>
      <c r="M238" s="505"/>
      <c r="N238" s="505"/>
      <c r="O238" s="507"/>
      <c r="P238" s="505"/>
    </row>
    <row r="239" spans="2:16" s="326" customFormat="1">
      <c r="B239" s="509">
        <v>49</v>
      </c>
      <c r="C239" s="496" t="s">
        <v>10</v>
      </c>
      <c r="D239" s="510" t="s">
        <v>9</v>
      </c>
      <c r="E239" s="509" t="s">
        <v>1864</v>
      </c>
      <c r="F239" s="509">
        <v>1</v>
      </c>
      <c r="G239" s="244"/>
      <c r="H239" s="244">
        <v>3853</v>
      </c>
      <c r="I239" s="244"/>
      <c r="J239" s="276">
        <f t="shared" si="6"/>
        <v>3853</v>
      </c>
      <c r="K239" s="505"/>
      <c r="L239" s="506"/>
      <c r="M239" s="505"/>
      <c r="N239" s="505"/>
      <c r="O239" s="507"/>
      <c r="P239" s="505"/>
    </row>
    <row r="240" spans="2:16" s="326" customFormat="1" ht="26.25">
      <c r="B240" s="243">
        <v>50</v>
      </c>
      <c r="C240" s="496" t="s">
        <v>11</v>
      </c>
      <c r="D240" s="508" t="s">
        <v>12</v>
      </c>
      <c r="E240" s="243" t="s">
        <v>1864</v>
      </c>
      <c r="F240" s="243">
        <v>1</v>
      </c>
      <c r="G240" s="244"/>
      <c r="H240" s="244">
        <v>467</v>
      </c>
      <c r="I240" s="244"/>
      <c r="J240" s="276">
        <f t="shared" si="6"/>
        <v>467</v>
      </c>
      <c r="K240" s="505"/>
      <c r="L240" s="506"/>
      <c r="M240" s="505"/>
      <c r="N240" s="505"/>
      <c r="O240" s="507"/>
      <c r="P240" s="505"/>
    </row>
    <row r="241" spans="2:16" s="326" customFormat="1">
      <c r="B241" s="243">
        <v>51</v>
      </c>
      <c r="C241" s="496" t="s">
        <v>13</v>
      </c>
      <c r="D241" s="508" t="s">
        <v>14</v>
      </c>
      <c r="E241" s="243" t="s">
        <v>1864</v>
      </c>
      <c r="F241" s="243">
        <v>1</v>
      </c>
      <c r="G241" s="244"/>
      <c r="H241" s="244">
        <v>10822</v>
      </c>
      <c r="I241" s="244"/>
      <c r="J241" s="276">
        <f t="shared" si="6"/>
        <v>10822</v>
      </c>
      <c r="K241" s="505"/>
      <c r="L241" s="506"/>
      <c r="M241" s="505"/>
      <c r="N241" s="505"/>
      <c r="O241" s="507"/>
      <c r="P241" s="505"/>
    </row>
    <row r="242" spans="2:16" s="326" customFormat="1">
      <c r="B242" s="263"/>
      <c r="C242" s="498"/>
      <c r="D242" s="267"/>
      <c r="E242" s="263"/>
      <c r="F242" s="263"/>
      <c r="G242" s="263"/>
      <c r="H242" s="263"/>
      <c r="I242" s="268"/>
      <c r="J242" s="276">
        <f>SUM(J191:J241)</f>
        <v>141188.79999999999</v>
      </c>
      <c r="K242" s="505"/>
      <c r="L242" s="506"/>
      <c r="M242" s="505"/>
      <c r="N242" s="505"/>
      <c r="O242" s="507"/>
      <c r="P242" s="505"/>
    </row>
    <row r="243" spans="2:16" s="326" customFormat="1">
      <c r="B243" s="474"/>
      <c r="C243" s="500"/>
      <c r="D243" s="514"/>
      <c r="E243" s="474"/>
      <c r="F243" s="474"/>
      <c r="G243" s="474"/>
      <c r="H243" s="474"/>
      <c r="I243" s="480"/>
      <c r="J243" s="481"/>
      <c r="K243" s="505"/>
      <c r="L243" s="506"/>
      <c r="M243" s="505"/>
      <c r="N243" s="505"/>
      <c r="O243" s="507"/>
      <c r="P243" s="505"/>
    </row>
    <row r="244" spans="2:16" s="326" customFormat="1">
      <c r="B244" s="474"/>
      <c r="C244" s="336" t="s">
        <v>1021</v>
      </c>
      <c r="D244" s="515"/>
      <c r="E244" s="474" t="s">
        <v>541</v>
      </c>
      <c r="F244" s="474"/>
      <c r="G244" s="474"/>
      <c r="H244" s="474"/>
      <c r="I244" s="480"/>
      <c r="J244" s="481"/>
      <c r="K244" s="505"/>
      <c r="L244" s="506"/>
      <c r="M244" s="505"/>
      <c r="N244" s="505"/>
      <c r="O244" s="507"/>
      <c r="P244" s="505"/>
    </row>
    <row r="245" spans="2:16" s="326" customFormat="1">
      <c r="B245" s="474"/>
      <c r="C245" s="500"/>
      <c r="D245" s="514"/>
      <c r="E245" s="474"/>
      <c r="F245" s="474"/>
      <c r="G245" s="474"/>
      <c r="H245" s="474"/>
      <c r="I245" s="480"/>
      <c r="J245" s="481"/>
      <c r="K245" s="505"/>
      <c r="L245" s="506"/>
      <c r="M245" s="505"/>
      <c r="N245" s="505"/>
      <c r="O245" s="507"/>
      <c r="P245" s="505"/>
    </row>
    <row r="246" spans="2:16" s="326" customFormat="1">
      <c r="B246" s="474"/>
      <c r="C246" s="517" t="s">
        <v>514</v>
      </c>
      <c r="D246" s="465" t="s">
        <v>514</v>
      </c>
      <c r="E246" s="523"/>
      <c r="F246" s="474"/>
      <c r="G246" s="474"/>
      <c r="H246" s="474"/>
      <c r="I246" s="480"/>
      <c r="J246" s="481"/>
      <c r="K246" s="505"/>
      <c r="L246" s="506"/>
      <c r="M246" s="505"/>
      <c r="N246" s="505"/>
      <c r="O246" s="507"/>
      <c r="P246" s="505"/>
    </row>
    <row r="247" spans="2:16" s="326" customFormat="1">
      <c r="B247" s="474"/>
      <c r="C247" s="503" t="s">
        <v>515</v>
      </c>
      <c r="D247" s="514"/>
      <c r="E247" s="474"/>
      <c r="F247" s="474"/>
      <c r="G247" s="474"/>
      <c r="H247" s="474"/>
      <c r="I247" s="480"/>
      <c r="J247" s="481"/>
      <c r="K247" s="505"/>
      <c r="L247" s="506"/>
      <c r="M247" s="505"/>
      <c r="N247" s="505"/>
      <c r="O247" s="507"/>
      <c r="P247" s="505"/>
    </row>
    <row r="248" spans="2:16" s="326" customFormat="1">
      <c r="B248" s="474"/>
      <c r="C248" s="500"/>
      <c r="D248" s="514"/>
      <c r="E248" s="474"/>
      <c r="F248" s="474"/>
      <c r="G248" s="474"/>
      <c r="H248" s="474"/>
      <c r="I248" s="480"/>
      <c r="J248" s="481"/>
      <c r="K248" s="505"/>
      <c r="L248" s="506"/>
      <c r="M248" s="505"/>
      <c r="N248" s="505"/>
      <c r="O248" s="507"/>
      <c r="P248" s="505"/>
    </row>
    <row r="249" spans="2:16" s="326" customFormat="1" ht="31.5">
      <c r="B249" s="492" t="s">
        <v>1783</v>
      </c>
      <c r="C249" s="105" t="s">
        <v>1860</v>
      </c>
      <c r="D249" s="493"/>
      <c r="E249" s="638" t="s">
        <v>1786</v>
      </c>
      <c r="F249" s="469" t="s">
        <v>1861</v>
      </c>
      <c r="G249" s="469" t="s">
        <v>1862</v>
      </c>
      <c r="H249" s="469" t="s">
        <v>82</v>
      </c>
      <c r="I249" s="470" t="s">
        <v>1863</v>
      </c>
      <c r="J249" s="471" t="s">
        <v>540</v>
      </c>
      <c r="K249" s="505"/>
      <c r="L249" s="506"/>
      <c r="M249" s="505"/>
      <c r="N249" s="505"/>
      <c r="O249" s="507"/>
      <c r="P249" s="505"/>
    </row>
    <row r="250" spans="2:16" s="326" customFormat="1">
      <c r="B250" s="518">
        <v>1</v>
      </c>
      <c r="C250" s="496" t="s">
        <v>686</v>
      </c>
      <c r="D250" s="267"/>
      <c r="E250" s="243" t="s">
        <v>493</v>
      </c>
      <c r="F250" s="243">
        <v>700</v>
      </c>
      <c r="G250" s="263"/>
      <c r="H250" s="263">
        <v>21</v>
      </c>
      <c r="I250" s="265"/>
      <c r="J250" s="276">
        <f>F250*H250</f>
        <v>14700</v>
      </c>
      <c r="K250" s="505"/>
      <c r="L250" s="506"/>
      <c r="M250" s="505"/>
      <c r="N250" s="505"/>
      <c r="O250" s="507"/>
      <c r="P250" s="505"/>
    </row>
    <row r="251" spans="2:16" s="326" customFormat="1">
      <c r="B251" s="518">
        <v>2</v>
      </c>
      <c r="C251" s="496" t="s">
        <v>517</v>
      </c>
      <c r="D251" s="267"/>
      <c r="E251" s="243" t="s">
        <v>493</v>
      </c>
      <c r="F251" s="243">
        <v>1400</v>
      </c>
      <c r="G251" s="263"/>
      <c r="H251" s="263">
        <v>23</v>
      </c>
      <c r="I251" s="265"/>
      <c r="J251" s="276">
        <f>F251*H251</f>
        <v>32200</v>
      </c>
      <c r="K251" s="505"/>
      <c r="L251" s="506"/>
      <c r="M251" s="505"/>
      <c r="N251" s="505"/>
      <c r="O251" s="507"/>
      <c r="P251" s="505"/>
    </row>
    <row r="252" spans="2:16" s="326" customFormat="1">
      <c r="B252" s="263"/>
      <c r="C252" s="498"/>
      <c r="D252" s="267"/>
      <c r="E252" s="263"/>
      <c r="F252" s="263"/>
      <c r="G252" s="263"/>
      <c r="H252" s="263"/>
      <c r="I252" s="268"/>
      <c r="J252" s="276">
        <f>SUM(J250:J251)</f>
        <v>46900</v>
      </c>
      <c r="K252" s="505"/>
      <c r="L252" s="506"/>
      <c r="M252" s="505"/>
      <c r="N252" s="505"/>
      <c r="O252" s="507"/>
      <c r="P252" s="505"/>
    </row>
    <row r="253" spans="2:16" s="326" customFormat="1">
      <c r="B253" s="474"/>
      <c r="C253" s="500"/>
      <c r="D253" s="514"/>
      <c r="E253" s="474"/>
      <c r="F253" s="474"/>
      <c r="G253" s="474"/>
      <c r="H253" s="474"/>
      <c r="I253" s="480"/>
      <c r="J253" s="481"/>
      <c r="K253" s="505"/>
      <c r="L253" s="506"/>
      <c r="M253" s="505"/>
      <c r="N253" s="505"/>
      <c r="O253" s="507"/>
      <c r="P253" s="505"/>
    </row>
    <row r="254" spans="2:16" s="326" customFormat="1">
      <c r="B254" s="474"/>
      <c r="C254" s="519" t="s">
        <v>1751</v>
      </c>
      <c r="D254" s="515"/>
      <c r="E254" s="960" t="s">
        <v>1739</v>
      </c>
      <c r="F254" s="960"/>
      <c r="G254" s="961"/>
      <c r="H254" s="961"/>
      <c r="I254" s="480"/>
      <c r="J254" s="481"/>
      <c r="K254" s="505"/>
      <c r="L254" s="506"/>
      <c r="M254" s="505"/>
      <c r="N254" s="505"/>
      <c r="O254" s="507"/>
      <c r="P254" s="505"/>
    </row>
    <row r="255" spans="2:16" s="326" customFormat="1">
      <c r="B255" s="474"/>
      <c r="C255" s="500"/>
      <c r="D255" s="514"/>
      <c r="E255" s="474"/>
      <c r="F255" s="474"/>
      <c r="G255" s="474"/>
      <c r="H255" s="474"/>
      <c r="I255" s="480"/>
      <c r="J255" s="481"/>
      <c r="K255" s="505"/>
      <c r="L255" s="506"/>
      <c r="M255" s="505"/>
      <c r="N255" s="505"/>
      <c r="O255" s="507"/>
      <c r="P255" s="505"/>
    </row>
    <row r="256" spans="2:16" s="326" customFormat="1" ht="31.5">
      <c r="B256" s="474"/>
      <c r="C256" s="464" t="s">
        <v>1941</v>
      </c>
      <c r="D256" s="465" t="s">
        <v>15</v>
      </c>
      <c r="E256" s="474"/>
      <c r="F256" s="474"/>
      <c r="G256" s="474"/>
      <c r="H256" s="474"/>
      <c r="I256" s="480"/>
      <c r="J256" s="481"/>
      <c r="K256" s="505"/>
      <c r="L256" s="506"/>
      <c r="M256" s="505"/>
      <c r="N256" s="505"/>
      <c r="O256" s="507"/>
      <c r="P256" s="505"/>
    </row>
    <row r="257" spans="2:16" s="326" customFormat="1">
      <c r="B257" s="474"/>
      <c r="C257" s="503"/>
      <c r="D257" s="514"/>
      <c r="E257" s="474"/>
      <c r="F257" s="474"/>
      <c r="G257" s="474"/>
      <c r="H257" s="474"/>
      <c r="I257" s="480"/>
      <c r="J257" s="481"/>
      <c r="K257" s="505"/>
      <c r="L257" s="506"/>
      <c r="M257" s="505"/>
      <c r="N257" s="505"/>
      <c r="O257" s="507"/>
      <c r="P257" s="505"/>
    </row>
    <row r="258" spans="2:16" s="326" customFormat="1">
      <c r="B258" s="474"/>
      <c r="C258" s="500"/>
      <c r="D258" s="514"/>
      <c r="E258" s="474"/>
      <c r="F258" s="474"/>
      <c r="G258" s="474"/>
      <c r="H258" s="474"/>
      <c r="I258" s="480"/>
      <c r="J258" s="481"/>
      <c r="K258" s="505"/>
      <c r="L258" s="506"/>
      <c r="M258" s="505"/>
      <c r="N258" s="505"/>
      <c r="O258" s="507"/>
      <c r="P258" s="505"/>
    </row>
    <row r="259" spans="2:16" s="326" customFormat="1" ht="31.5">
      <c r="B259" s="492" t="s">
        <v>1783</v>
      </c>
      <c r="C259" s="105" t="s">
        <v>1860</v>
      </c>
      <c r="D259" s="493"/>
      <c r="E259" s="638" t="s">
        <v>1786</v>
      </c>
      <c r="F259" s="469" t="s">
        <v>1861</v>
      </c>
      <c r="G259" s="469" t="s">
        <v>663</v>
      </c>
      <c r="H259" s="469" t="s">
        <v>82</v>
      </c>
      <c r="I259" s="470" t="s">
        <v>1863</v>
      </c>
      <c r="J259" s="471" t="s">
        <v>540</v>
      </c>
      <c r="K259" s="505"/>
      <c r="L259" s="506"/>
      <c r="M259" s="505"/>
      <c r="N259" s="505"/>
      <c r="O259" s="507"/>
      <c r="P259" s="505"/>
    </row>
    <row r="260" spans="2:16" s="326" customFormat="1">
      <c r="B260" s="518">
        <v>1</v>
      </c>
      <c r="C260" s="269" t="s">
        <v>632</v>
      </c>
      <c r="D260" s="330" t="s">
        <v>628</v>
      </c>
      <c r="E260" s="518" t="s">
        <v>537</v>
      </c>
      <c r="F260" s="520">
        <v>240</v>
      </c>
      <c r="G260" s="362">
        <v>479.8</v>
      </c>
      <c r="H260" s="362">
        <v>380</v>
      </c>
      <c r="I260" s="244"/>
      <c r="J260" s="276">
        <f>F260*H260</f>
        <v>91200</v>
      </c>
      <c r="K260" s="505"/>
      <c r="L260" s="506"/>
      <c r="M260" s="505"/>
      <c r="N260" s="505"/>
      <c r="O260" s="507"/>
      <c r="P260" s="505"/>
    </row>
    <row r="261" spans="2:16" s="326" customFormat="1" ht="30.75" customHeight="1">
      <c r="B261" s="518">
        <v>2</v>
      </c>
      <c r="C261" s="269" t="s">
        <v>633</v>
      </c>
      <c r="D261" s="330" t="s">
        <v>629</v>
      </c>
      <c r="E261" s="518" t="s">
        <v>537</v>
      </c>
      <c r="F261" s="520">
        <v>60</v>
      </c>
      <c r="G261" s="362">
        <v>624.78</v>
      </c>
      <c r="H261" s="362">
        <v>580</v>
      </c>
      <c r="I261" s="244"/>
      <c r="J261" s="276">
        <f>F261*H261</f>
        <v>34800</v>
      </c>
      <c r="K261" s="505"/>
      <c r="L261" s="506"/>
      <c r="M261" s="505"/>
      <c r="N261" s="505"/>
      <c r="O261" s="507"/>
      <c r="P261" s="505"/>
    </row>
    <row r="262" spans="2:16" s="326" customFormat="1" ht="18" customHeight="1">
      <c r="B262" s="518">
        <v>3</v>
      </c>
      <c r="C262" s="269" t="s">
        <v>634</v>
      </c>
      <c r="D262" s="330" t="s">
        <v>630</v>
      </c>
      <c r="E262" s="518" t="s">
        <v>537</v>
      </c>
      <c r="F262" s="520">
        <v>40</v>
      </c>
      <c r="G262" s="362">
        <v>113.94</v>
      </c>
      <c r="H262" s="362">
        <v>120</v>
      </c>
      <c r="I262" s="244"/>
      <c r="J262" s="276">
        <f>F262*H262</f>
        <v>4800</v>
      </c>
      <c r="K262" s="505"/>
      <c r="L262" s="506"/>
      <c r="M262" s="505"/>
      <c r="N262" s="505"/>
      <c r="O262" s="507"/>
      <c r="P262" s="505"/>
    </row>
    <row r="263" spans="2:16" s="326" customFormat="1">
      <c r="B263" s="518">
        <v>4</v>
      </c>
      <c r="C263" s="269" t="s">
        <v>635</v>
      </c>
      <c r="D263" s="330" t="s">
        <v>631</v>
      </c>
      <c r="E263" s="518" t="s">
        <v>537</v>
      </c>
      <c r="F263" s="520"/>
      <c r="G263" s="362">
        <v>399.6</v>
      </c>
      <c r="H263" s="362">
        <v>399.6</v>
      </c>
      <c r="I263" s="244"/>
      <c r="J263" s="276">
        <f>F263*H263</f>
        <v>0</v>
      </c>
      <c r="K263" s="505"/>
      <c r="L263" s="506"/>
      <c r="M263" s="505"/>
      <c r="N263" s="505"/>
      <c r="O263" s="507"/>
      <c r="P263" s="505"/>
    </row>
    <row r="264" spans="2:16" s="326" customFormat="1">
      <c r="B264" s="263"/>
      <c r="C264" s="498"/>
      <c r="D264" s="267"/>
      <c r="E264" s="263"/>
      <c r="F264" s="263"/>
      <c r="G264" s="244"/>
      <c r="H264" s="244"/>
      <c r="I264" s="276"/>
      <c r="J264" s="276">
        <f>SUM(J260:J263)</f>
        <v>130800</v>
      </c>
      <c r="K264" s="505"/>
      <c r="L264" s="506"/>
      <c r="M264" s="505"/>
      <c r="N264" s="505"/>
      <c r="O264" s="507"/>
      <c r="P264" s="505"/>
    </row>
    <row r="265" spans="2:16" s="326" customFormat="1">
      <c r="B265" s="474"/>
      <c r="C265" s="500"/>
      <c r="D265" s="514"/>
      <c r="E265" s="474"/>
      <c r="F265" s="474"/>
      <c r="G265" s="474"/>
      <c r="H265" s="474"/>
      <c r="I265" s="480"/>
      <c r="J265" s="481"/>
      <c r="K265" s="505"/>
      <c r="L265" s="506"/>
      <c r="M265" s="505"/>
      <c r="N265" s="505"/>
      <c r="O265" s="507"/>
      <c r="P265" s="505"/>
    </row>
    <row r="266" spans="2:16" s="326" customFormat="1">
      <c r="B266" s="474"/>
      <c r="C266" s="519" t="s">
        <v>1751</v>
      </c>
      <c r="D266" s="515"/>
      <c r="E266" s="960" t="s">
        <v>1739</v>
      </c>
      <c r="F266" s="960"/>
      <c r="G266" s="961"/>
      <c r="H266" s="961"/>
      <c r="I266" s="480"/>
      <c r="J266" s="481"/>
      <c r="K266" s="505"/>
      <c r="L266" s="506"/>
      <c r="M266" s="505"/>
      <c r="N266" s="505"/>
      <c r="O266" s="507"/>
      <c r="P266" s="505"/>
    </row>
    <row r="267" spans="2:16" s="326" customFormat="1">
      <c r="B267" s="474"/>
      <c r="C267" s="500"/>
      <c r="D267" s="514"/>
      <c r="E267" s="474"/>
      <c r="F267" s="474"/>
      <c r="G267" s="474"/>
      <c r="H267" s="474"/>
      <c r="I267" s="480"/>
      <c r="J267" s="481"/>
      <c r="K267" s="505"/>
      <c r="L267" s="506"/>
      <c r="M267" s="505"/>
      <c r="N267" s="505"/>
      <c r="O267" s="507"/>
      <c r="P267" s="505"/>
    </row>
    <row r="268" spans="2:16" s="326" customFormat="1" ht="15.75" customHeight="1">
      <c r="B268" s="474"/>
      <c r="C268" s="500"/>
      <c r="D268" s="514"/>
      <c r="E268" s="474"/>
      <c r="F268" s="474"/>
      <c r="G268" s="474"/>
      <c r="H268" s="474"/>
      <c r="I268" s="480"/>
      <c r="J268" s="481"/>
      <c r="K268" s="505"/>
      <c r="L268" s="506"/>
      <c r="M268" s="505"/>
      <c r="N268" s="505"/>
      <c r="O268" s="507"/>
      <c r="P268" s="505"/>
    </row>
    <row r="269" spans="2:16" s="326" customFormat="1">
      <c r="B269" s="474"/>
      <c r="C269" s="464" t="s">
        <v>518</v>
      </c>
      <c r="D269" s="521" t="s">
        <v>16</v>
      </c>
      <c r="E269" s="474"/>
      <c r="F269" s="474"/>
      <c r="G269" s="474"/>
      <c r="H269" s="474"/>
      <c r="I269" s="480"/>
      <c r="J269" s="481"/>
      <c r="K269" s="505"/>
      <c r="L269" s="506"/>
      <c r="M269" s="505"/>
      <c r="N269" s="505"/>
      <c r="O269" s="507"/>
      <c r="P269" s="505"/>
    </row>
    <row r="270" spans="2:16" s="326" customFormat="1">
      <c r="B270" s="474"/>
      <c r="C270" s="464"/>
      <c r="D270" s="514"/>
      <c r="E270" s="474"/>
      <c r="F270" s="474"/>
      <c r="G270" s="474"/>
      <c r="H270" s="474"/>
      <c r="I270" s="480"/>
      <c r="J270" s="481"/>
      <c r="K270" s="505"/>
      <c r="L270" s="506"/>
      <c r="M270" s="505"/>
      <c r="N270" s="505"/>
      <c r="O270" s="507"/>
      <c r="P270" s="505"/>
    </row>
    <row r="271" spans="2:16" s="326" customFormat="1" ht="31.5">
      <c r="B271" s="492" t="s">
        <v>1783</v>
      </c>
      <c r="C271" s="105" t="s">
        <v>1860</v>
      </c>
      <c r="D271" s="493"/>
      <c r="E271" s="518" t="s">
        <v>1786</v>
      </c>
      <c r="F271" s="469" t="s">
        <v>1861</v>
      </c>
      <c r="G271" s="469" t="s">
        <v>1862</v>
      </c>
      <c r="H271" s="469" t="s">
        <v>82</v>
      </c>
      <c r="I271" s="470" t="s">
        <v>1863</v>
      </c>
      <c r="J271" s="471" t="s">
        <v>540</v>
      </c>
      <c r="K271" s="505"/>
      <c r="L271" s="506"/>
      <c r="M271" s="505"/>
      <c r="N271" s="505"/>
      <c r="O271" s="507"/>
      <c r="P271" s="505"/>
    </row>
    <row r="272" spans="2:16" s="326" customFormat="1">
      <c r="B272" s="518">
        <v>1</v>
      </c>
      <c r="C272" s="496" t="s">
        <v>519</v>
      </c>
      <c r="D272" s="496" t="s">
        <v>519</v>
      </c>
      <c r="E272" s="243" t="s">
        <v>495</v>
      </c>
      <c r="F272" s="522">
        <v>30</v>
      </c>
      <c r="G272" s="331"/>
      <c r="H272" s="331">
        <v>80</v>
      </c>
      <c r="I272" s="265"/>
      <c r="J272" s="276">
        <f>F272*H272</f>
        <v>2400</v>
      </c>
      <c r="K272" s="505"/>
      <c r="L272" s="506"/>
      <c r="M272" s="505"/>
      <c r="N272" s="505"/>
      <c r="O272" s="507"/>
      <c r="P272" s="505"/>
    </row>
    <row r="273" spans="2:16" s="326" customFormat="1" ht="30.75" customHeight="1">
      <c r="B273" s="518">
        <f>1+B272</f>
        <v>2</v>
      </c>
      <c r="C273" s="496" t="s">
        <v>520</v>
      </c>
      <c r="D273" s="496" t="s">
        <v>520</v>
      </c>
      <c r="E273" s="243" t="s">
        <v>495</v>
      </c>
      <c r="F273" s="522">
        <v>30</v>
      </c>
      <c r="G273" s="331"/>
      <c r="H273" s="331">
        <v>240</v>
      </c>
      <c r="I273" s="265"/>
      <c r="J273" s="276">
        <f t="shared" ref="J273:J290" si="7">F273*H273</f>
        <v>7200</v>
      </c>
      <c r="K273" s="505"/>
      <c r="L273" s="506"/>
      <c r="M273" s="505"/>
      <c r="N273" s="505"/>
      <c r="O273" s="507"/>
      <c r="P273" s="505"/>
    </row>
    <row r="274" spans="2:16" s="326" customFormat="1" ht="18" customHeight="1">
      <c r="B274" s="518">
        <f t="shared" ref="B274:B290" si="8">1+B273</f>
        <v>3</v>
      </c>
      <c r="C274" s="496" t="s">
        <v>521</v>
      </c>
      <c r="D274" s="496" t="s">
        <v>521</v>
      </c>
      <c r="E274" s="243" t="s">
        <v>495</v>
      </c>
      <c r="F274" s="522">
        <v>10</v>
      </c>
      <c r="G274" s="331"/>
      <c r="H274" s="331">
        <v>900</v>
      </c>
      <c r="I274" s="265"/>
      <c r="J274" s="276">
        <f t="shared" si="7"/>
        <v>9000</v>
      </c>
      <c r="K274" s="505"/>
      <c r="L274" s="506"/>
      <c r="M274" s="505"/>
      <c r="N274" s="505"/>
      <c r="O274" s="507"/>
      <c r="P274" s="505"/>
    </row>
    <row r="275" spans="2:16" s="326" customFormat="1">
      <c r="B275" s="518">
        <f t="shared" si="8"/>
        <v>4</v>
      </c>
      <c r="C275" s="496" t="s">
        <v>522</v>
      </c>
      <c r="D275" s="496" t="s">
        <v>522</v>
      </c>
      <c r="E275" s="243" t="s">
        <v>495</v>
      </c>
      <c r="F275" s="522">
        <v>30</v>
      </c>
      <c r="G275" s="331"/>
      <c r="H275" s="331">
        <v>115</v>
      </c>
      <c r="I275" s="265"/>
      <c r="J275" s="276">
        <f t="shared" si="7"/>
        <v>3450</v>
      </c>
      <c r="K275" s="505"/>
      <c r="L275" s="506"/>
      <c r="M275" s="505"/>
      <c r="N275" s="505"/>
      <c r="O275" s="507"/>
      <c r="P275" s="505"/>
    </row>
    <row r="276" spans="2:16" s="326" customFormat="1">
      <c r="B276" s="518">
        <f t="shared" si="8"/>
        <v>5</v>
      </c>
      <c r="C276" s="496" t="s">
        <v>523</v>
      </c>
      <c r="D276" s="496" t="s">
        <v>523</v>
      </c>
      <c r="E276" s="243" t="s">
        <v>495</v>
      </c>
      <c r="F276" s="522">
        <v>10</v>
      </c>
      <c r="G276" s="331"/>
      <c r="H276" s="331">
        <v>1150</v>
      </c>
      <c r="I276" s="265"/>
      <c r="J276" s="276">
        <f t="shared" si="7"/>
        <v>11500</v>
      </c>
      <c r="K276" s="505"/>
      <c r="L276" s="506"/>
      <c r="M276" s="505"/>
      <c r="N276" s="505"/>
      <c r="O276" s="507"/>
      <c r="P276" s="505"/>
    </row>
    <row r="277" spans="2:16" s="326" customFormat="1">
      <c r="B277" s="518">
        <f t="shared" si="8"/>
        <v>6</v>
      </c>
      <c r="C277" s="496" t="s">
        <v>524</v>
      </c>
      <c r="D277" s="496" t="s">
        <v>524</v>
      </c>
      <c r="E277" s="243" t="s">
        <v>495</v>
      </c>
      <c r="F277" s="522">
        <v>20</v>
      </c>
      <c r="G277" s="331"/>
      <c r="H277" s="331">
        <v>78</v>
      </c>
      <c r="I277" s="265"/>
      <c r="J277" s="276">
        <f t="shared" si="7"/>
        <v>1560</v>
      </c>
      <c r="K277" s="505"/>
      <c r="L277" s="506"/>
      <c r="M277" s="505"/>
      <c r="N277" s="505"/>
      <c r="O277" s="507"/>
      <c r="P277" s="505"/>
    </row>
    <row r="278" spans="2:16" s="326" customFormat="1">
      <c r="B278" s="518">
        <f t="shared" si="8"/>
        <v>7</v>
      </c>
      <c r="C278" s="496" t="s">
        <v>525</v>
      </c>
      <c r="D278" s="496" t="s">
        <v>525</v>
      </c>
      <c r="E278" s="243" t="s">
        <v>495</v>
      </c>
      <c r="F278" s="522">
        <v>10</v>
      </c>
      <c r="G278" s="331"/>
      <c r="H278" s="331">
        <v>777</v>
      </c>
      <c r="I278" s="265"/>
      <c r="J278" s="276">
        <f t="shared" si="7"/>
        <v>7770</v>
      </c>
      <c r="K278" s="505"/>
      <c r="L278" s="506"/>
      <c r="M278" s="505"/>
      <c r="N278" s="505"/>
      <c r="O278" s="507"/>
      <c r="P278" s="505"/>
    </row>
    <row r="279" spans="2:16" s="326" customFormat="1">
      <c r="B279" s="518">
        <f t="shared" si="8"/>
        <v>8</v>
      </c>
      <c r="C279" s="496" t="s">
        <v>526</v>
      </c>
      <c r="D279" s="496" t="s">
        <v>526</v>
      </c>
      <c r="E279" s="243" t="s">
        <v>495</v>
      </c>
      <c r="F279" s="522">
        <v>2</v>
      </c>
      <c r="G279" s="331"/>
      <c r="H279" s="331">
        <v>2010</v>
      </c>
      <c r="I279" s="265"/>
      <c r="J279" s="276">
        <f t="shared" si="7"/>
        <v>4020</v>
      </c>
      <c r="K279" s="505"/>
      <c r="L279" s="506"/>
      <c r="M279" s="505"/>
      <c r="N279" s="505"/>
      <c r="O279" s="507"/>
      <c r="P279" s="505"/>
    </row>
    <row r="280" spans="2:16" s="326" customFormat="1">
      <c r="B280" s="518">
        <f t="shared" si="8"/>
        <v>9</v>
      </c>
      <c r="C280" s="496" t="s">
        <v>527</v>
      </c>
      <c r="D280" s="496" t="s">
        <v>527</v>
      </c>
      <c r="E280" s="243" t="s">
        <v>495</v>
      </c>
      <c r="F280" s="522">
        <v>20</v>
      </c>
      <c r="G280" s="331"/>
      <c r="H280" s="331">
        <v>280</v>
      </c>
      <c r="I280" s="265"/>
      <c r="J280" s="276">
        <f t="shared" si="7"/>
        <v>5600</v>
      </c>
      <c r="K280" s="506"/>
      <c r="L280" s="506"/>
      <c r="M280" s="506"/>
      <c r="N280" s="506"/>
      <c r="O280" s="523"/>
      <c r="P280" s="506"/>
    </row>
    <row r="281" spans="2:16" s="326" customFormat="1">
      <c r="B281" s="518">
        <f t="shared" si="8"/>
        <v>10</v>
      </c>
      <c r="C281" s="496" t="s">
        <v>17</v>
      </c>
      <c r="D281" s="496" t="s">
        <v>17</v>
      </c>
      <c r="E281" s="243" t="s">
        <v>495</v>
      </c>
      <c r="F281" s="522">
        <v>1</v>
      </c>
      <c r="G281" s="331"/>
      <c r="H281" s="331">
        <v>5862</v>
      </c>
      <c r="I281" s="265"/>
      <c r="J281" s="276">
        <f t="shared" si="7"/>
        <v>5862</v>
      </c>
      <c r="K281" s="505"/>
      <c r="L281" s="506"/>
      <c r="M281" s="505"/>
      <c r="N281" s="505"/>
      <c r="O281" s="507"/>
      <c r="P281" s="505"/>
    </row>
    <row r="282" spans="2:16" s="326" customFormat="1" ht="15.75" customHeight="1">
      <c r="B282" s="518">
        <f t="shared" si="8"/>
        <v>11</v>
      </c>
      <c r="C282" s="496" t="s">
        <v>528</v>
      </c>
      <c r="D282" s="496" t="s">
        <v>528</v>
      </c>
      <c r="E282" s="243" t="s">
        <v>495</v>
      </c>
      <c r="F282" s="522">
        <v>20</v>
      </c>
      <c r="G282" s="331"/>
      <c r="H282" s="331">
        <v>530</v>
      </c>
      <c r="I282" s="265"/>
      <c r="J282" s="276">
        <f t="shared" si="7"/>
        <v>10600</v>
      </c>
      <c r="K282" s="505"/>
      <c r="L282" s="506"/>
      <c r="M282" s="505"/>
      <c r="N282" s="505"/>
      <c r="O282" s="507"/>
      <c r="P282" s="505"/>
    </row>
    <row r="283" spans="2:16" s="326" customFormat="1">
      <c r="B283" s="518">
        <f t="shared" si="8"/>
        <v>12</v>
      </c>
      <c r="C283" s="496" t="s">
        <v>529</v>
      </c>
      <c r="D283" s="496" t="s">
        <v>529</v>
      </c>
      <c r="E283" s="243" t="s">
        <v>537</v>
      </c>
      <c r="F283" s="522">
        <v>30</v>
      </c>
      <c r="G283" s="331"/>
      <c r="H283" s="331">
        <v>344</v>
      </c>
      <c r="I283" s="265"/>
      <c r="J283" s="276">
        <f t="shared" si="7"/>
        <v>10320</v>
      </c>
      <c r="K283" s="505"/>
      <c r="L283" s="506"/>
      <c r="M283" s="505"/>
      <c r="N283" s="505"/>
      <c r="O283" s="507"/>
      <c r="P283" s="505"/>
    </row>
    <row r="284" spans="2:16" s="326" customFormat="1">
      <c r="B284" s="518">
        <f t="shared" si="8"/>
        <v>13</v>
      </c>
      <c r="C284" s="496" t="s">
        <v>530</v>
      </c>
      <c r="D284" s="496" t="s">
        <v>530</v>
      </c>
      <c r="E284" s="243" t="s">
        <v>537</v>
      </c>
      <c r="F284" s="522">
        <v>10</v>
      </c>
      <c r="G284" s="331"/>
      <c r="H284" s="331">
        <v>318</v>
      </c>
      <c r="I284" s="265"/>
      <c r="J284" s="276">
        <f t="shared" si="7"/>
        <v>3180</v>
      </c>
      <c r="K284" s="505"/>
      <c r="L284" s="506"/>
      <c r="M284" s="505"/>
      <c r="N284" s="505"/>
      <c r="O284" s="507"/>
      <c r="P284" s="505"/>
    </row>
    <row r="285" spans="2:16" s="326" customFormat="1">
      <c r="B285" s="518">
        <f t="shared" si="8"/>
        <v>14</v>
      </c>
      <c r="C285" s="496" t="s">
        <v>531</v>
      </c>
      <c r="D285" s="496" t="s">
        <v>531</v>
      </c>
      <c r="E285" s="243" t="s">
        <v>537</v>
      </c>
      <c r="F285" s="522">
        <v>20</v>
      </c>
      <c r="G285" s="331"/>
      <c r="H285" s="331">
        <v>318</v>
      </c>
      <c r="I285" s="265"/>
      <c r="J285" s="276">
        <f t="shared" si="7"/>
        <v>6360</v>
      </c>
      <c r="K285" s="505"/>
      <c r="L285" s="506"/>
      <c r="M285" s="505"/>
      <c r="N285" s="505"/>
      <c r="O285" s="507"/>
      <c r="P285" s="505"/>
    </row>
    <row r="286" spans="2:16" s="326" customFormat="1">
      <c r="B286" s="518">
        <f t="shared" si="8"/>
        <v>15</v>
      </c>
      <c r="C286" s="496" t="s">
        <v>532</v>
      </c>
      <c r="D286" s="496" t="s">
        <v>532</v>
      </c>
      <c r="E286" s="243" t="s">
        <v>495</v>
      </c>
      <c r="F286" s="522">
        <v>2</v>
      </c>
      <c r="G286" s="331"/>
      <c r="H286" s="331">
        <v>1410</v>
      </c>
      <c r="I286" s="265"/>
      <c r="J286" s="276">
        <f t="shared" si="7"/>
        <v>2820</v>
      </c>
      <c r="K286" s="505"/>
      <c r="L286" s="506"/>
      <c r="M286" s="505"/>
      <c r="N286" s="505"/>
      <c r="O286" s="507"/>
      <c r="P286" s="505"/>
    </row>
    <row r="287" spans="2:16" s="326" customFormat="1">
      <c r="B287" s="518">
        <f t="shared" si="8"/>
        <v>16</v>
      </c>
      <c r="C287" s="496" t="s">
        <v>533</v>
      </c>
      <c r="D287" s="496" t="s">
        <v>533</v>
      </c>
      <c r="E287" s="243" t="s">
        <v>495</v>
      </c>
      <c r="F287" s="522">
        <v>20</v>
      </c>
      <c r="G287" s="331"/>
      <c r="H287" s="331">
        <v>232</v>
      </c>
      <c r="I287" s="265"/>
      <c r="J287" s="276">
        <f t="shared" si="7"/>
        <v>4640</v>
      </c>
      <c r="K287" s="505"/>
      <c r="L287" s="506"/>
      <c r="M287" s="505"/>
      <c r="N287" s="505"/>
      <c r="O287" s="507"/>
      <c r="P287" s="505"/>
    </row>
    <row r="288" spans="2:16" s="326" customFormat="1">
      <c r="B288" s="518">
        <f t="shared" si="8"/>
        <v>17</v>
      </c>
      <c r="C288" s="496" t="s">
        <v>534</v>
      </c>
      <c r="D288" s="496" t="s">
        <v>534</v>
      </c>
      <c r="E288" s="243" t="s">
        <v>495</v>
      </c>
      <c r="F288" s="522">
        <v>15</v>
      </c>
      <c r="G288" s="331"/>
      <c r="H288" s="331">
        <v>960</v>
      </c>
      <c r="I288" s="265"/>
      <c r="J288" s="276">
        <f t="shared" si="7"/>
        <v>14400</v>
      </c>
      <c r="K288" s="505"/>
      <c r="L288" s="506"/>
      <c r="M288" s="505"/>
      <c r="N288" s="505"/>
      <c r="O288" s="507"/>
      <c r="P288" s="505"/>
    </row>
    <row r="289" spans="2:19" s="326" customFormat="1">
      <c r="B289" s="518">
        <f t="shared" si="8"/>
        <v>18</v>
      </c>
      <c r="C289" s="496" t="s">
        <v>535</v>
      </c>
      <c r="D289" s="496" t="s">
        <v>535</v>
      </c>
      <c r="E289" s="243" t="s">
        <v>495</v>
      </c>
      <c r="F289" s="522">
        <v>2</v>
      </c>
      <c r="G289" s="331"/>
      <c r="H289" s="331">
        <v>3947</v>
      </c>
      <c r="I289" s="265"/>
      <c r="J289" s="276">
        <f t="shared" si="7"/>
        <v>7894</v>
      </c>
      <c r="K289" s="505"/>
      <c r="L289" s="506"/>
      <c r="M289" s="505"/>
      <c r="N289" s="505"/>
      <c r="O289" s="507"/>
      <c r="P289" s="505"/>
    </row>
    <row r="290" spans="2:19" s="326" customFormat="1">
      <c r="B290" s="518">
        <f t="shared" si="8"/>
        <v>19</v>
      </c>
      <c r="C290" s="496" t="s">
        <v>536</v>
      </c>
      <c r="D290" s="496" t="s">
        <v>536</v>
      </c>
      <c r="E290" s="243" t="s">
        <v>495</v>
      </c>
      <c r="F290" s="522">
        <v>5</v>
      </c>
      <c r="G290" s="331"/>
      <c r="H290" s="331">
        <v>500</v>
      </c>
      <c r="I290" s="265"/>
      <c r="J290" s="276">
        <f t="shared" si="7"/>
        <v>2500</v>
      </c>
      <c r="K290" s="505"/>
      <c r="L290" s="506"/>
      <c r="M290" s="505"/>
      <c r="N290" s="505"/>
      <c r="O290" s="507"/>
      <c r="P290" s="505"/>
    </row>
    <row r="291" spans="2:19" s="326" customFormat="1">
      <c r="B291" s="263"/>
      <c r="C291" s="467"/>
      <c r="D291" s="267"/>
      <c r="E291" s="263"/>
      <c r="F291" s="263"/>
      <c r="G291" s="263"/>
      <c r="H291" s="263"/>
      <c r="I291" s="265"/>
      <c r="J291" s="276">
        <f>SUM(J272:J290)</f>
        <v>121076</v>
      </c>
      <c r="K291" s="505"/>
      <c r="L291" s="506"/>
      <c r="M291" s="505"/>
      <c r="N291" s="505"/>
      <c r="O291" s="507"/>
      <c r="P291" s="505"/>
    </row>
    <row r="292" spans="2:19" s="326" customFormat="1">
      <c r="B292" s="474"/>
      <c r="C292" s="464"/>
      <c r="D292" s="514"/>
      <c r="E292" s="474"/>
      <c r="F292" s="474"/>
      <c r="G292" s="474"/>
      <c r="H292" s="474"/>
      <c r="I292" s="480"/>
      <c r="J292" s="481"/>
      <c r="K292" s="505"/>
      <c r="L292" s="506"/>
      <c r="M292" s="505"/>
      <c r="N292" s="505"/>
      <c r="O292" s="507"/>
      <c r="P292" s="505"/>
    </row>
    <row r="293" spans="2:19" s="326" customFormat="1">
      <c r="B293" s="474"/>
      <c r="C293" s="519" t="s">
        <v>1751</v>
      </c>
      <c r="D293" s="515"/>
      <c r="E293" s="960" t="s">
        <v>1739</v>
      </c>
      <c r="F293" s="960"/>
      <c r="G293" s="961"/>
      <c r="H293" s="961"/>
      <c r="I293" s="480"/>
      <c r="J293" s="481"/>
      <c r="K293" s="505"/>
      <c r="L293" s="506"/>
      <c r="M293" s="505"/>
      <c r="N293" s="505"/>
      <c r="O293" s="507"/>
      <c r="P293" s="505"/>
    </row>
    <row r="294" spans="2:19" s="326" customFormat="1">
      <c r="B294" s="474"/>
      <c r="C294" s="464"/>
      <c r="D294" s="514"/>
      <c r="E294" s="474"/>
      <c r="F294" s="474"/>
      <c r="G294" s="474"/>
      <c r="H294" s="474"/>
      <c r="I294" s="480"/>
      <c r="J294" s="481"/>
      <c r="K294" s="505"/>
      <c r="L294" s="506"/>
      <c r="M294" s="505"/>
      <c r="N294" s="505"/>
      <c r="O294" s="507"/>
      <c r="P294" s="505"/>
    </row>
    <row r="295" spans="2:19" s="326" customFormat="1">
      <c r="B295" s="474"/>
      <c r="C295" s="524" t="s">
        <v>1230</v>
      </c>
      <c r="D295" s="521" t="s">
        <v>18</v>
      </c>
      <c r="E295" s="474"/>
      <c r="F295" s="474"/>
      <c r="G295" s="474"/>
      <c r="H295" s="474"/>
      <c r="I295" s="480"/>
      <c r="J295" s="481"/>
      <c r="K295" s="505"/>
      <c r="L295" s="506"/>
      <c r="M295" s="505"/>
      <c r="N295" s="505"/>
      <c r="O295" s="507"/>
      <c r="P295" s="505"/>
    </row>
    <row r="296" spans="2:19" s="326" customFormat="1">
      <c r="B296" s="474"/>
      <c r="C296" s="464"/>
      <c r="D296" s="514"/>
      <c r="E296" s="474"/>
      <c r="F296" s="474"/>
      <c r="G296" s="474"/>
      <c r="H296" s="474"/>
      <c r="I296" s="480"/>
      <c r="J296" s="481"/>
      <c r="K296" s="505"/>
      <c r="L296" s="506"/>
      <c r="M296" s="505"/>
      <c r="N296" s="505"/>
      <c r="O296" s="507"/>
      <c r="P296" s="505"/>
    </row>
    <row r="297" spans="2:19" s="339" customFormat="1" ht="31.5">
      <c r="B297" s="504" t="s">
        <v>1274</v>
      </c>
      <c r="C297" s="105" t="s">
        <v>516</v>
      </c>
      <c r="D297" s="267"/>
      <c r="E297" s="518" t="s">
        <v>1786</v>
      </c>
      <c r="F297" s="469" t="s">
        <v>1861</v>
      </c>
      <c r="G297" s="469" t="s">
        <v>1862</v>
      </c>
      <c r="H297" s="469" t="s">
        <v>82</v>
      </c>
      <c r="I297" s="470" t="s">
        <v>1863</v>
      </c>
      <c r="J297" s="471" t="s">
        <v>540</v>
      </c>
      <c r="K297" s="505"/>
      <c r="L297" s="506"/>
      <c r="M297" s="505"/>
      <c r="N297" s="505"/>
      <c r="O297" s="507"/>
      <c r="P297" s="505"/>
      <c r="S297" s="629"/>
    </row>
    <row r="298" spans="2:19" s="326" customFormat="1">
      <c r="B298" s="497">
        <v>1</v>
      </c>
      <c r="C298" s="245" t="s">
        <v>542</v>
      </c>
      <c r="D298" s="245" t="s">
        <v>542</v>
      </c>
      <c r="E298" s="525" t="s">
        <v>1864</v>
      </c>
      <c r="F298" s="526">
        <v>800</v>
      </c>
      <c r="G298" s="263"/>
      <c r="H298" s="527">
        <v>6.42</v>
      </c>
      <c r="I298" s="265"/>
      <c r="J298" s="276">
        <f>F298*H298</f>
        <v>5136</v>
      </c>
      <c r="K298" s="528"/>
      <c r="L298" s="506"/>
      <c r="M298" s="505"/>
      <c r="N298" s="505"/>
      <c r="O298" s="507"/>
      <c r="P298" s="505"/>
    </row>
    <row r="299" spans="2:19" s="326" customFormat="1">
      <c r="B299" s="497">
        <f>1+B298</f>
        <v>2</v>
      </c>
      <c r="C299" s="245" t="s">
        <v>543</v>
      </c>
      <c r="D299" s="245" t="s">
        <v>543</v>
      </c>
      <c r="E299" s="525" t="s">
        <v>1864</v>
      </c>
      <c r="F299" s="526">
        <v>1000</v>
      </c>
      <c r="G299" s="263"/>
      <c r="H299" s="527">
        <v>11.77</v>
      </c>
      <c r="I299" s="265"/>
      <c r="J299" s="276">
        <f t="shared" ref="J299:J362" si="9">F299*H299</f>
        <v>11770</v>
      </c>
      <c r="K299" s="528"/>
      <c r="L299" s="506"/>
      <c r="M299" s="505"/>
      <c r="N299" s="505"/>
      <c r="O299" s="507"/>
      <c r="P299" s="505"/>
    </row>
    <row r="300" spans="2:19" s="326" customFormat="1">
      <c r="B300" s="497">
        <f t="shared" ref="B300:B363" si="10">1+B299</f>
        <v>3</v>
      </c>
      <c r="C300" s="245" t="s">
        <v>544</v>
      </c>
      <c r="D300" s="245" t="s">
        <v>544</v>
      </c>
      <c r="E300" s="525" t="s">
        <v>1864</v>
      </c>
      <c r="F300" s="526">
        <v>500</v>
      </c>
      <c r="G300" s="263"/>
      <c r="H300" s="527">
        <v>12.84</v>
      </c>
      <c r="I300" s="265"/>
      <c r="J300" s="276">
        <f t="shared" si="9"/>
        <v>6420</v>
      </c>
      <c r="K300" s="528"/>
      <c r="L300" s="506"/>
      <c r="M300" s="505"/>
      <c r="N300" s="505"/>
      <c r="O300" s="507"/>
      <c r="P300" s="505"/>
    </row>
    <row r="301" spans="2:19" s="326" customFormat="1">
      <c r="B301" s="497">
        <f t="shared" si="10"/>
        <v>4</v>
      </c>
      <c r="C301" s="245" t="s">
        <v>545</v>
      </c>
      <c r="D301" s="245" t="s">
        <v>545</v>
      </c>
      <c r="E301" s="525" t="s">
        <v>1864</v>
      </c>
      <c r="F301" s="525">
        <v>150</v>
      </c>
      <c r="G301" s="263"/>
      <c r="H301" s="527">
        <v>97.7</v>
      </c>
      <c r="I301" s="265"/>
      <c r="J301" s="276">
        <f t="shared" si="9"/>
        <v>14655</v>
      </c>
      <c r="K301" s="528"/>
      <c r="L301" s="506"/>
      <c r="M301" s="505"/>
      <c r="N301" s="505"/>
      <c r="O301" s="507"/>
      <c r="P301" s="505"/>
    </row>
    <row r="302" spans="2:19" s="326" customFormat="1">
      <c r="B302" s="497">
        <f t="shared" si="10"/>
        <v>5</v>
      </c>
      <c r="C302" s="245" t="s">
        <v>546</v>
      </c>
      <c r="D302" s="245" t="s">
        <v>546</v>
      </c>
      <c r="E302" s="525" t="s">
        <v>1864</v>
      </c>
      <c r="F302" s="526">
        <v>400</v>
      </c>
      <c r="G302" s="263"/>
      <c r="H302" s="527">
        <v>17.12</v>
      </c>
      <c r="I302" s="265"/>
      <c r="J302" s="276">
        <f t="shared" si="9"/>
        <v>6848</v>
      </c>
      <c r="K302" s="528"/>
      <c r="L302" s="506"/>
      <c r="M302" s="505"/>
      <c r="N302" s="505"/>
      <c r="O302" s="507"/>
      <c r="P302" s="505"/>
    </row>
    <row r="303" spans="2:19" s="326" customFormat="1">
      <c r="B303" s="497">
        <f t="shared" si="10"/>
        <v>6</v>
      </c>
      <c r="C303" s="245" t="s">
        <v>547</v>
      </c>
      <c r="D303" s="245" t="s">
        <v>547</v>
      </c>
      <c r="E303" s="525" t="s">
        <v>1864</v>
      </c>
      <c r="F303" s="526">
        <v>20</v>
      </c>
      <c r="G303" s="263"/>
      <c r="H303" s="527">
        <v>94.16</v>
      </c>
      <c r="I303" s="265"/>
      <c r="J303" s="276">
        <f t="shared" si="9"/>
        <v>1883.1999999999998</v>
      </c>
      <c r="K303" s="528"/>
      <c r="L303" s="506"/>
      <c r="M303" s="505"/>
      <c r="N303" s="505"/>
      <c r="O303" s="507"/>
      <c r="P303" s="505"/>
    </row>
    <row r="304" spans="2:19" s="326" customFormat="1">
      <c r="B304" s="497">
        <f t="shared" si="10"/>
        <v>7</v>
      </c>
      <c r="C304" s="245" t="s">
        <v>548</v>
      </c>
      <c r="D304" s="245" t="s">
        <v>548</v>
      </c>
      <c r="E304" s="525" t="s">
        <v>504</v>
      </c>
      <c r="F304" s="526">
        <v>10</v>
      </c>
      <c r="G304" s="263"/>
      <c r="H304" s="527">
        <v>235.4</v>
      </c>
      <c r="I304" s="265"/>
      <c r="J304" s="276">
        <f t="shared" si="9"/>
        <v>2354</v>
      </c>
      <c r="K304" s="528"/>
      <c r="L304" s="506"/>
      <c r="M304" s="505"/>
      <c r="N304" s="505"/>
      <c r="O304" s="507"/>
      <c r="P304" s="505"/>
    </row>
    <row r="305" spans="2:16" s="326" customFormat="1">
      <c r="B305" s="497">
        <f t="shared" si="10"/>
        <v>8</v>
      </c>
      <c r="C305" s="245" t="s">
        <v>549</v>
      </c>
      <c r="D305" s="245" t="s">
        <v>549</v>
      </c>
      <c r="E305" s="525" t="s">
        <v>504</v>
      </c>
      <c r="F305" s="526">
        <v>10</v>
      </c>
      <c r="G305" s="263"/>
      <c r="H305" s="527">
        <v>235.4</v>
      </c>
      <c r="I305" s="265"/>
      <c r="J305" s="276">
        <f t="shared" si="9"/>
        <v>2354</v>
      </c>
      <c r="K305" s="528"/>
      <c r="L305" s="506"/>
      <c r="M305" s="505"/>
      <c r="N305" s="505"/>
      <c r="O305" s="507"/>
      <c r="P305" s="505"/>
    </row>
    <row r="306" spans="2:16" s="326" customFormat="1">
      <c r="B306" s="497">
        <f t="shared" si="10"/>
        <v>9</v>
      </c>
      <c r="C306" s="245" t="s">
        <v>550</v>
      </c>
      <c r="D306" s="245" t="s">
        <v>550</v>
      </c>
      <c r="E306" s="525" t="s">
        <v>504</v>
      </c>
      <c r="F306" s="526">
        <v>1</v>
      </c>
      <c r="G306" s="263"/>
      <c r="H306" s="527">
        <v>235.4</v>
      </c>
      <c r="I306" s="265"/>
      <c r="J306" s="276">
        <f t="shared" si="9"/>
        <v>235.4</v>
      </c>
      <c r="K306" s="528"/>
      <c r="L306" s="506"/>
      <c r="M306" s="505"/>
      <c r="N306" s="505"/>
      <c r="O306" s="507"/>
      <c r="P306" s="505"/>
    </row>
    <row r="307" spans="2:16" s="326" customFormat="1">
      <c r="B307" s="497">
        <f t="shared" si="10"/>
        <v>10</v>
      </c>
      <c r="C307" s="245" t="s">
        <v>551</v>
      </c>
      <c r="D307" s="245" t="s">
        <v>551</v>
      </c>
      <c r="E307" s="525" t="s">
        <v>1864</v>
      </c>
      <c r="F307" s="525">
        <v>3</v>
      </c>
      <c r="G307" s="263"/>
      <c r="H307" s="527">
        <v>1503.35</v>
      </c>
      <c r="I307" s="265"/>
      <c r="J307" s="276">
        <f t="shared" si="9"/>
        <v>4510.0499999999993</v>
      </c>
      <c r="K307" s="528"/>
      <c r="L307" s="506"/>
      <c r="M307" s="505"/>
      <c r="N307" s="505"/>
      <c r="O307" s="507"/>
      <c r="P307" s="505"/>
    </row>
    <row r="308" spans="2:16" s="326" customFormat="1">
      <c r="B308" s="497">
        <f t="shared" si="10"/>
        <v>11</v>
      </c>
      <c r="C308" s="245" t="s">
        <v>552</v>
      </c>
      <c r="D308" s="245" t="s">
        <v>552</v>
      </c>
      <c r="E308" s="525" t="s">
        <v>1864</v>
      </c>
      <c r="F308" s="525">
        <v>3</v>
      </c>
      <c r="G308" s="263"/>
      <c r="H308" s="527">
        <v>2841.92</v>
      </c>
      <c r="I308" s="265"/>
      <c r="J308" s="276">
        <f t="shared" si="9"/>
        <v>8525.76</v>
      </c>
      <c r="K308" s="528"/>
      <c r="L308" s="506"/>
      <c r="M308" s="505"/>
      <c r="N308" s="505"/>
      <c r="O308" s="507"/>
      <c r="P308" s="505"/>
    </row>
    <row r="309" spans="2:16" s="326" customFormat="1">
      <c r="B309" s="497">
        <f t="shared" si="10"/>
        <v>12</v>
      </c>
      <c r="C309" s="245" t="s">
        <v>553</v>
      </c>
      <c r="D309" s="245" t="s">
        <v>553</v>
      </c>
      <c r="E309" s="525" t="s">
        <v>1864</v>
      </c>
      <c r="F309" s="525">
        <v>2</v>
      </c>
      <c r="G309" s="263"/>
      <c r="H309" s="527">
        <v>3376.92</v>
      </c>
      <c r="I309" s="265"/>
      <c r="J309" s="276">
        <f t="shared" si="9"/>
        <v>6753.84</v>
      </c>
      <c r="K309" s="528"/>
      <c r="L309" s="506"/>
      <c r="M309" s="505"/>
      <c r="N309" s="505"/>
      <c r="O309" s="507"/>
      <c r="P309" s="505"/>
    </row>
    <row r="310" spans="2:16" s="326" customFormat="1">
      <c r="B310" s="497">
        <f t="shared" si="10"/>
        <v>13</v>
      </c>
      <c r="C310" s="245" t="s">
        <v>554</v>
      </c>
      <c r="D310" s="245" t="s">
        <v>554</v>
      </c>
      <c r="E310" s="525" t="s">
        <v>1864</v>
      </c>
      <c r="F310" s="525">
        <v>3</v>
      </c>
      <c r="G310" s="263"/>
      <c r="H310" s="527">
        <v>2996</v>
      </c>
      <c r="I310" s="265"/>
      <c r="J310" s="276">
        <f t="shared" si="9"/>
        <v>8988</v>
      </c>
      <c r="K310" s="528"/>
      <c r="L310" s="506"/>
      <c r="M310" s="505"/>
      <c r="N310" s="505"/>
      <c r="O310" s="507"/>
      <c r="P310" s="505"/>
    </row>
    <row r="311" spans="2:16" s="326" customFormat="1" ht="15.75" customHeight="1">
      <c r="B311" s="497">
        <f t="shared" si="10"/>
        <v>14</v>
      </c>
      <c r="C311" s="245" t="s">
        <v>555</v>
      </c>
      <c r="D311" s="245" t="s">
        <v>555</v>
      </c>
      <c r="E311" s="525" t="s">
        <v>1864</v>
      </c>
      <c r="F311" s="525">
        <v>2</v>
      </c>
      <c r="G311" s="263"/>
      <c r="H311" s="527">
        <v>1495.86</v>
      </c>
      <c r="I311" s="265"/>
      <c r="J311" s="276">
        <f t="shared" si="9"/>
        <v>2991.72</v>
      </c>
      <c r="K311" s="528"/>
      <c r="L311" s="506"/>
      <c r="M311" s="505"/>
      <c r="N311" s="505"/>
      <c r="O311" s="507"/>
      <c r="P311" s="505"/>
    </row>
    <row r="312" spans="2:16" s="326" customFormat="1">
      <c r="B312" s="497">
        <f t="shared" si="10"/>
        <v>15</v>
      </c>
      <c r="C312" s="245" t="s">
        <v>556</v>
      </c>
      <c r="D312" s="245" t="s">
        <v>556</v>
      </c>
      <c r="E312" s="525" t="s">
        <v>1864</v>
      </c>
      <c r="F312" s="525">
        <v>2</v>
      </c>
      <c r="G312" s="263"/>
      <c r="H312" s="527">
        <v>2236.3000000000002</v>
      </c>
      <c r="I312" s="265"/>
      <c r="J312" s="276">
        <f t="shared" si="9"/>
        <v>4472.6000000000004</v>
      </c>
      <c r="K312" s="528"/>
      <c r="L312" s="506"/>
      <c r="M312" s="505"/>
      <c r="N312" s="505"/>
      <c r="O312" s="507"/>
      <c r="P312" s="505"/>
    </row>
    <row r="313" spans="2:16" s="326" customFormat="1">
      <c r="B313" s="497">
        <f t="shared" si="10"/>
        <v>16</v>
      </c>
      <c r="C313" s="245" t="s">
        <v>557</v>
      </c>
      <c r="D313" s="245" t="s">
        <v>557</v>
      </c>
      <c r="E313" s="525" t="s">
        <v>1864</v>
      </c>
      <c r="F313" s="525">
        <v>1</v>
      </c>
      <c r="G313" s="263"/>
      <c r="H313" s="527">
        <v>2889</v>
      </c>
      <c r="I313" s="265"/>
      <c r="J313" s="276">
        <f t="shared" si="9"/>
        <v>2889</v>
      </c>
      <c r="K313" s="528"/>
      <c r="L313" s="506"/>
      <c r="M313" s="505"/>
      <c r="N313" s="505"/>
      <c r="O313" s="507"/>
      <c r="P313" s="505"/>
    </row>
    <row r="314" spans="2:16" s="326" customFormat="1">
      <c r="B314" s="497">
        <f t="shared" si="10"/>
        <v>17</v>
      </c>
      <c r="C314" s="245" t="s">
        <v>558</v>
      </c>
      <c r="D314" s="245" t="s">
        <v>558</v>
      </c>
      <c r="E314" s="525" t="s">
        <v>1864</v>
      </c>
      <c r="F314" s="526">
        <v>800</v>
      </c>
      <c r="G314" s="263"/>
      <c r="H314" s="527">
        <v>11</v>
      </c>
      <c r="I314" s="265"/>
      <c r="J314" s="276">
        <f t="shared" si="9"/>
        <v>8800</v>
      </c>
      <c r="K314" s="528"/>
      <c r="L314" s="506"/>
      <c r="M314" s="505"/>
      <c r="N314" s="505"/>
      <c r="O314" s="507"/>
      <c r="P314" s="505"/>
    </row>
    <row r="315" spans="2:16" s="326" customFormat="1">
      <c r="B315" s="497">
        <f t="shared" si="10"/>
        <v>18</v>
      </c>
      <c r="C315" s="245" t="s">
        <v>559</v>
      </c>
      <c r="D315" s="245" t="s">
        <v>559</v>
      </c>
      <c r="E315" s="525" t="s">
        <v>1864</v>
      </c>
      <c r="F315" s="526">
        <v>800</v>
      </c>
      <c r="G315" s="263"/>
      <c r="H315" s="527">
        <v>11</v>
      </c>
      <c r="I315" s="265"/>
      <c r="J315" s="276">
        <f t="shared" si="9"/>
        <v>8800</v>
      </c>
      <c r="K315" s="528"/>
      <c r="L315" s="506"/>
      <c r="M315" s="505"/>
      <c r="N315" s="505"/>
      <c r="O315" s="507"/>
      <c r="P315" s="505"/>
    </row>
    <row r="316" spans="2:16" s="326" customFormat="1">
      <c r="B316" s="497">
        <f t="shared" si="10"/>
        <v>19</v>
      </c>
      <c r="C316" s="245" t="s">
        <v>560</v>
      </c>
      <c r="D316" s="245" t="s">
        <v>560</v>
      </c>
      <c r="E316" s="525" t="s">
        <v>1864</v>
      </c>
      <c r="F316" s="526">
        <v>400</v>
      </c>
      <c r="G316" s="263"/>
      <c r="H316" s="527">
        <v>11</v>
      </c>
      <c r="I316" s="265"/>
      <c r="J316" s="276">
        <f t="shared" si="9"/>
        <v>4400</v>
      </c>
      <c r="K316" s="528"/>
      <c r="L316" s="506"/>
      <c r="M316" s="505"/>
      <c r="N316" s="505"/>
      <c r="O316" s="507"/>
      <c r="P316" s="505"/>
    </row>
    <row r="317" spans="2:16" s="326" customFormat="1">
      <c r="B317" s="497">
        <f t="shared" si="10"/>
        <v>20</v>
      </c>
      <c r="C317" s="245" t="s">
        <v>561</v>
      </c>
      <c r="D317" s="245" t="s">
        <v>561</v>
      </c>
      <c r="E317" s="525" t="s">
        <v>19</v>
      </c>
      <c r="F317" s="525">
        <v>50</v>
      </c>
      <c r="G317" s="263"/>
      <c r="H317" s="527">
        <v>107</v>
      </c>
      <c r="I317" s="265"/>
      <c r="J317" s="276">
        <f t="shared" si="9"/>
        <v>5350</v>
      </c>
      <c r="K317" s="528"/>
      <c r="L317" s="506"/>
      <c r="M317" s="505"/>
      <c r="N317" s="505"/>
      <c r="O317" s="507"/>
      <c r="P317" s="505"/>
    </row>
    <row r="318" spans="2:16" s="326" customFormat="1">
      <c r="B318" s="497">
        <f t="shared" si="10"/>
        <v>21</v>
      </c>
      <c r="C318" s="245" t="s">
        <v>562</v>
      </c>
      <c r="D318" s="245" t="s">
        <v>562</v>
      </c>
      <c r="E318" s="525" t="s">
        <v>1864</v>
      </c>
      <c r="F318" s="525">
        <v>800</v>
      </c>
      <c r="G318" s="263"/>
      <c r="H318" s="527">
        <v>12.84</v>
      </c>
      <c r="I318" s="265"/>
      <c r="J318" s="276">
        <f t="shared" si="9"/>
        <v>10272</v>
      </c>
      <c r="K318" s="528"/>
      <c r="L318" s="506"/>
      <c r="M318" s="505"/>
      <c r="N318" s="505"/>
      <c r="O318" s="507"/>
      <c r="P318" s="505"/>
    </row>
    <row r="319" spans="2:16" s="326" customFormat="1">
      <c r="B319" s="497">
        <f t="shared" si="10"/>
        <v>22</v>
      </c>
      <c r="C319" s="245" t="s">
        <v>563</v>
      </c>
      <c r="D319" s="245" t="s">
        <v>563</v>
      </c>
      <c r="E319" s="525" t="s">
        <v>1864</v>
      </c>
      <c r="F319" s="525">
        <v>600</v>
      </c>
      <c r="G319" s="263"/>
      <c r="H319" s="527">
        <v>21.4</v>
      </c>
      <c r="I319" s="265"/>
      <c r="J319" s="276">
        <f t="shared" si="9"/>
        <v>12840</v>
      </c>
      <c r="K319" s="528"/>
      <c r="L319" s="506"/>
      <c r="M319" s="505"/>
      <c r="N319" s="505"/>
      <c r="O319" s="507"/>
      <c r="P319" s="505"/>
    </row>
    <row r="320" spans="2:16" s="326" customFormat="1">
      <c r="B320" s="497">
        <f t="shared" si="10"/>
        <v>23</v>
      </c>
      <c r="C320" s="245" t="s">
        <v>20</v>
      </c>
      <c r="D320" s="245" t="s">
        <v>20</v>
      </c>
      <c r="E320" s="525" t="s">
        <v>627</v>
      </c>
      <c r="F320" s="525">
        <v>1500</v>
      </c>
      <c r="G320" s="263"/>
      <c r="H320" s="527">
        <v>12.4</v>
      </c>
      <c r="I320" s="265"/>
      <c r="J320" s="276">
        <f t="shared" si="9"/>
        <v>18600</v>
      </c>
      <c r="K320" s="528"/>
      <c r="L320" s="506"/>
      <c r="M320" s="505"/>
      <c r="N320" s="505"/>
      <c r="O320" s="507"/>
      <c r="P320" s="505"/>
    </row>
    <row r="321" spans="2:16" s="326" customFormat="1">
      <c r="B321" s="497">
        <f t="shared" si="10"/>
        <v>24</v>
      </c>
      <c r="C321" s="245" t="s">
        <v>21</v>
      </c>
      <c r="D321" s="245" t="s">
        <v>21</v>
      </c>
      <c r="E321" s="525" t="s">
        <v>627</v>
      </c>
      <c r="F321" s="525">
        <v>2000</v>
      </c>
      <c r="G321" s="263"/>
      <c r="H321" s="527">
        <v>12.4</v>
      </c>
      <c r="I321" s="265"/>
      <c r="J321" s="276">
        <f t="shared" si="9"/>
        <v>24800</v>
      </c>
      <c r="K321" s="528"/>
      <c r="L321" s="506"/>
      <c r="M321" s="505"/>
      <c r="N321" s="505"/>
      <c r="O321" s="507"/>
      <c r="P321" s="505"/>
    </row>
    <row r="322" spans="2:16" s="326" customFormat="1">
      <c r="B322" s="497">
        <f t="shared" si="10"/>
        <v>25</v>
      </c>
      <c r="C322" s="245" t="s">
        <v>22</v>
      </c>
      <c r="D322" s="245" t="s">
        <v>22</v>
      </c>
      <c r="E322" s="525" t="s">
        <v>627</v>
      </c>
      <c r="F322" s="525">
        <v>800</v>
      </c>
      <c r="G322" s="263"/>
      <c r="H322" s="527">
        <v>12.4</v>
      </c>
      <c r="I322" s="265"/>
      <c r="J322" s="276">
        <f t="shared" si="9"/>
        <v>9920</v>
      </c>
      <c r="K322" s="528"/>
      <c r="L322" s="506"/>
      <c r="M322" s="505"/>
      <c r="N322" s="505"/>
      <c r="O322" s="507"/>
      <c r="P322" s="505"/>
    </row>
    <row r="323" spans="2:16" s="441" customFormat="1">
      <c r="B323" s="497">
        <f t="shared" si="10"/>
        <v>26</v>
      </c>
      <c r="C323" s="245" t="s">
        <v>564</v>
      </c>
      <c r="D323" s="245" t="s">
        <v>564</v>
      </c>
      <c r="E323" s="525" t="s">
        <v>1864</v>
      </c>
      <c r="F323" s="525">
        <v>1000</v>
      </c>
      <c r="G323" s="263"/>
      <c r="H323" s="527">
        <v>14</v>
      </c>
      <c r="I323" s="265"/>
      <c r="J323" s="276">
        <f t="shared" si="9"/>
        <v>14000</v>
      </c>
      <c r="K323" s="528"/>
      <c r="L323" s="506"/>
      <c r="M323" s="505"/>
      <c r="N323" s="505"/>
      <c r="O323" s="507"/>
      <c r="P323" s="505"/>
    </row>
    <row r="324" spans="2:16" s="441" customFormat="1">
      <c r="B324" s="497">
        <f t="shared" si="10"/>
        <v>27</v>
      </c>
      <c r="C324" s="245" t="s">
        <v>565</v>
      </c>
      <c r="D324" s="245" t="s">
        <v>565</v>
      </c>
      <c r="E324" s="525" t="s">
        <v>1864</v>
      </c>
      <c r="F324" s="525">
        <v>4000</v>
      </c>
      <c r="G324" s="263"/>
      <c r="H324" s="527">
        <v>12</v>
      </c>
      <c r="I324" s="265"/>
      <c r="J324" s="276">
        <f t="shared" si="9"/>
        <v>48000</v>
      </c>
      <c r="K324" s="528"/>
      <c r="L324" s="506"/>
      <c r="M324" s="505"/>
      <c r="N324" s="505"/>
      <c r="O324" s="507"/>
      <c r="P324" s="505"/>
    </row>
    <row r="325" spans="2:16" s="441" customFormat="1">
      <c r="B325" s="497">
        <f t="shared" si="10"/>
        <v>28</v>
      </c>
      <c r="C325" s="245" t="s">
        <v>566</v>
      </c>
      <c r="D325" s="245" t="s">
        <v>566</v>
      </c>
      <c r="E325" s="525" t="s">
        <v>504</v>
      </c>
      <c r="F325" s="525">
        <v>100</v>
      </c>
      <c r="G325" s="263"/>
      <c r="H325" s="527">
        <v>96.3</v>
      </c>
      <c r="I325" s="265"/>
      <c r="J325" s="276">
        <f t="shared" si="9"/>
        <v>9630</v>
      </c>
      <c r="K325" s="528"/>
      <c r="L325" s="506"/>
      <c r="M325" s="505"/>
      <c r="N325" s="505"/>
      <c r="O325" s="507"/>
      <c r="P325" s="505"/>
    </row>
    <row r="326" spans="2:16" s="441" customFormat="1">
      <c r="B326" s="497">
        <f t="shared" si="10"/>
        <v>29</v>
      </c>
      <c r="C326" s="245" t="s">
        <v>23</v>
      </c>
      <c r="D326" s="245" t="s">
        <v>23</v>
      </c>
      <c r="E326" s="525" t="s">
        <v>1864</v>
      </c>
      <c r="F326" s="525">
        <v>400</v>
      </c>
      <c r="G326" s="263"/>
      <c r="H326" s="527">
        <v>9.6300000000000008</v>
      </c>
      <c r="I326" s="265"/>
      <c r="J326" s="276">
        <f t="shared" si="9"/>
        <v>3852.0000000000005</v>
      </c>
      <c r="K326" s="528"/>
      <c r="L326" s="506"/>
      <c r="M326" s="505"/>
      <c r="N326" s="505"/>
      <c r="O326" s="507"/>
      <c r="P326" s="505"/>
    </row>
    <row r="327" spans="2:16" s="441" customFormat="1">
      <c r="B327" s="497">
        <f t="shared" si="10"/>
        <v>30</v>
      </c>
      <c r="C327" s="245" t="s">
        <v>567</v>
      </c>
      <c r="D327" s="245" t="s">
        <v>567</v>
      </c>
      <c r="E327" s="525" t="s">
        <v>1864</v>
      </c>
      <c r="F327" s="525">
        <v>5</v>
      </c>
      <c r="G327" s="263"/>
      <c r="H327" s="527">
        <v>156</v>
      </c>
      <c r="I327" s="265"/>
      <c r="J327" s="276">
        <f t="shared" si="9"/>
        <v>780</v>
      </c>
      <c r="K327" s="528"/>
      <c r="L327" s="506"/>
      <c r="M327" s="505"/>
      <c r="N327" s="505"/>
      <c r="O327" s="507"/>
      <c r="P327" s="505"/>
    </row>
    <row r="328" spans="2:16" s="441" customFormat="1">
      <c r="B328" s="497">
        <f t="shared" si="10"/>
        <v>31</v>
      </c>
      <c r="C328" s="245" t="s">
        <v>568</v>
      </c>
      <c r="D328" s="245" t="s">
        <v>568</v>
      </c>
      <c r="E328" s="525" t="s">
        <v>1864</v>
      </c>
      <c r="F328" s="525">
        <v>800</v>
      </c>
      <c r="G328" s="263"/>
      <c r="H328" s="527">
        <v>26.75</v>
      </c>
      <c r="I328" s="265"/>
      <c r="J328" s="276">
        <f t="shared" si="9"/>
        <v>21400</v>
      </c>
      <c r="K328" s="528"/>
      <c r="L328" s="506"/>
      <c r="M328" s="505"/>
      <c r="N328" s="505"/>
      <c r="O328" s="507"/>
      <c r="P328" s="505"/>
    </row>
    <row r="329" spans="2:16" s="441" customFormat="1">
      <c r="B329" s="497">
        <f t="shared" si="10"/>
        <v>32</v>
      </c>
      <c r="C329" s="245" t="s">
        <v>569</v>
      </c>
      <c r="D329" s="245" t="s">
        <v>569</v>
      </c>
      <c r="E329" s="525" t="s">
        <v>1864</v>
      </c>
      <c r="F329" s="525">
        <v>500</v>
      </c>
      <c r="G329" s="263"/>
      <c r="H329" s="527">
        <v>2.76</v>
      </c>
      <c r="I329" s="265"/>
      <c r="J329" s="276">
        <f t="shared" si="9"/>
        <v>1380</v>
      </c>
      <c r="K329" s="528"/>
      <c r="L329" s="506"/>
      <c r="M329" s="505"/>
      <c r="N329" s="505"/>
      <c r="O329" s="507"/>
      <c r="P329" s="505"/>
    </row>
    <row r="330" spans="2:16" s="441" customFormat="1">
      <c r="B330" s="497">
        <f t="shared" si="10"/>
        <v>33</v>
      </c>
      <c r="C330" s="245" t="s">
        <v>570</v>
      </c>
      <c r="D330" s="245" t="s">
        <v>570</v>
      </c>
      <c r="E330" s="525" t="s">
        <v>1864</v>
      </c>
      <c r="F330" s="525">
        <v>6000</v>
      </c>
      <c r="G330" s="263"/>
      <c r="H330" s="527">
        <v>1.95</v>
      </c>
      <c r="I330" s="265"/>
      <c r="J330" s="276">
        <f t="shared" si="9"/>
        <v>11700</v>
      </c>
      <c r="K330" s="528"/>
      <c r="L330" s="506"/>
      <c r="M330" s="505"/>
      <c r="N330" s="505"/>
      <c r="O330" s="507"/>
      <c r="P330" s="505"/>
    </row>
    <row r="331" spans="2:16" s="441" customFormat="1">
      <c r="B331" s="497">
        <f t="shared" si="10"/>
        <v>34</v>
      </c>
      <c r="C331" s="245" t="s">
        <v>571</v>
      </c>
      <c r="D331" s="245" t="s">
        <v>571</v>
      </c>
      <c r="E331" s="525" t="s">
        <v>1864</v>
      </c>
      <c r="F331" s="525">
        <v>8000</v>
      </c>
      <c r="G331" s="263"/>
      <c r="H331" s="527">
        <v>2.0499999999999998</v>
      </c>
      <c r="I331" s="265"/>
      <c r="J331" s="276">
        <f t="shared" si="9"/>
        <v>16400</v>
      </c>
      <c r="K331" s="528"/>
      <c r="L331" s="506"/>
      <c r="M331" s="505"/>
      <c r="N331" s="505"/>
      <c r="O331" s="507"/>
      <c r="P331" s="505"/>
    </row>
    <row r="332" spans="2:16" s="441" customFormat="1">
      <c r="B332" s="497">
        <f t="shared" si="10"/>
        <v>35</v>
      </c>
      <c r="C332" s="245" t="s">
        <v>572</v>
      </c>
      <c r="D332" s="245" t="s">
        <v>572</v>
      </c>
      <c r="E332" s="525" t="s">
        <v>1864</v>
      </c>
      <c r="F332" s="525">
        <v>3000</v>
      </c>
      <c r="G332" s="263"/>
      <c r="H332" s="527">
        <v>2.8</v>
      </c>
      <c r="I332" s="265"/>
      <c r="J332" s="276">
        <f t="shared" si="9"/>
        <v>8400</v>
      </c>
      <c r="K332" s="528"/>
      <c r="L332" s="506"/>
      <c r="M332" s="505"/>
      <c r="N332" s="505"/>
      <c r="O332" s="507"/>
      <c r="P332" s="505"/>
    </row>
    <row r="333" spans="2:16" s="326" customFormat="1">
      <c r="B333" s="497">
        <f t="shared" si="10"/>
        <v>36</v>
      </c>
      <c r="C333" s="245" t="s">
        <v>573</v>
      </c>
      <c r="D333" s="245" t="s">
        <v>573</v>
      </c>
      <c r="E333" s="525" t="s">
        <v>1864</v>
      </c>
      <c r="F333" s="525">
        <v>1000</v>
      </c>
      <c r="G333" s="263"/>
      <c r="H333" s="527">
        <v>3.95</v>
      </c>
      <c r="I333" s="265"/>
      <c r="J333" s="276">
        <f t="shared" si="9"/>
        <v>3950</v>
      </c>
      <c r="K333" s="528"/>
      <c r="L333" s="506"/>
      <c r="M333" s="505"/>
      <c r="N333" s="505"/>
      <c r="O333" s="507"/>
      <c r="P333" s="505"/>
    </row>
    <row r="334" spans="2:16" s="326" customFormat="1">
      <c r="B334" s="497">
        <f t="shared" si="10"/>
        <v>37</v>
      </c>
      <c r="C334" s="245" t="s">
        <v>574</v>
      </c>
      <c r="D334" s="245" t="s">
        <v>574</v>
      </c>
      <c r="E334" s="525" t="s">
        <v>1864</v>
      </c>
      <c r="F334" s="525">
        <v>50</v>
      </c>
      <c r="G334" s="263"/>
      <c r="H334" s="527">
        <v>30</v>
      </c>
      <c r="I334" s="265"/>
      <c r="J334" s="276">
        <f t="shared" si="9"/>
        <v>1500</v>
      </c>
      <c r="K334" s="528"/>
      <c r="L334" s="506"/>
      <c r="M334" s="505"/>
      <c r="N334" s="505"/>
      <c r="O334" s="507"/>
      <c r="P334" s="505"/>
    </row>
    <row r="335" spans="2:16" s="326" customFormat="1">
      <c r="B335" s="497">
        <f t="shared" si="10"/>
        <v>38</v>
      </c>
      <c r="C335" s="529" t="s">
        <v>575</v>
      </c>
      <c r="D335" s="529" t="s">
        <v>575</v>
      </c>
      <c r="E335" s="530" t="s">
        <v>1864</v>
      </c>
      <c r="F335" s="531">
        <v>10</v>
      </c>
      <c r="G335" s="263"/>
      <c r="H335" s="527">
        <v>35.31</v>
      </c>
      <c r="I335" s="265"/>
      <c r="J335" s="276">
        <f t="shared" si="9"/>
        <v>353.1</v>
      </c>
      <c r="K335" s="528"/>
      <c r="L335" s="506"/>
      <c r="M335" s="505"/>
      <c r="N335" s="505"/>
      <c r="O335" s="507"/>
      <c r="P335" s="505"/>
    </row>
    <row r="336" spans="2:16" s="326" customFormat="1">
      <c r="B336" s="497">
        <f t="shared" si="10"/>
        <v>39</v>
      </c>
      <c r="C336" s="245" t="s">
        <v>576</v>
      </c>
      <c r="D336" s="245" t="s">
        <v>576</v>
      </c>
      <c r="E336" s="525" t="s">
        <v>1864</v>
      </c>
      <c r="F336" s="526">
        <v>30</v>
      </c>
      <c r="G336" s="263"/>
      <c r="H336" s="527">
        <v>32.1</v>
      </c>
      <c r="I336" s="265"/>
      <c r="J336" s="276">
        <f t="shared" si="9"/>
        <v>963</v>
      </c>
      <c r="K336" s="528"/>
      <c r="L336" s="506"/>
      <c r="M336" s="505"/>
      <c r="N336" s="505"/>
      <c r="O336" s="507"/>
      <c r="P336" s="505"/>
    </row>
    <row r="337" spans="2:16" s="326" customFormat="1">
      <c r="B337" s="497">
        <f t="shared" si="10"/>
        <v>40</v>
      </c>
      <c r="C337" s="245" t="s">
        <v>577</v>
      </c>
      <c r="D337" s="245" t="s">
        <v>577</v>
      </c>
      <c r="E337" s="525" t="s">
        <v>1864</v>
      </c>
      <c r="F337" s="526">
        <v>40</v>
      </c>
      <c r="G337" s="263"/>
      <c r="H337" s="527">
        <v>32.1</v>
      </c>
      <c r="I337" s="265"/>
      <c r="J337" s="276">
        <f t="shared" si="9"/>
        <v>1284</v>
      </c>
      <c r="K337" s="528"/>
      <c r="L337" s="506"/>
      <c r="M337" s="505"/>
      <c r="N337" s="505"/>
      <c r="O337" s="507"/>
      <c r="P337" s="505"/>
    </row>
    <row r="338" spans="2:16" s="326" customFormat="1">
      <c r="B338" s="497">
        <f t="shared" si="10"/>
        <v>41</v>
      </c>
      <c r="C338" s="245" t="s">
        <v>578</v>
      </c>
      <c r="D338" s="245" t="s">
        <v>578</v>
      </c>
      <c r="E338" s="525" t="s">
        <v>1864</v>
      </c>
      <c r="F338" s="526">
        <v>30</v>
      </c>
      <c r="G338" s="263"/>
      <c r="H338" s="527">
        <v>32.1</v>
      </c>
      <c r="I338" s="265"/>
      <c r="J338" s="276">
        <f t="shared" si="9"/>
        <v>963</v>
      </c>
      <c r="K338" s="528"/>
      <c r="L338" s="506"/>
      <c r="M338" s="505"/>
      <c r="N338" s="505"/>
      <c r="O338" s="507"/>
      <c r="P338" s="505"/>
    </row>
    <row r="339" spans="2:16" s="326" customFormat="1">
      <c r="B339" s="497">
        <f t="shared" si="10"/>
        <v>42</v>
      </c>
      <c r="C339" s="245" t="s">
        <v>579</v>
      </c>
      <c r="D339" s="245" t="s">
        <v>579</v>
      </c>
      <c r="E339" s="525" t="s">
        <v>1864</v>
      </c>
      <c r="F339" s="526">
        <v>40</v>
      </c>
      <c r="G339" s="263"/>
      <c r="H339" s="527">
        <v>32.1</v>
      </c>
      <c r="I339" s="265"/>
      <c r="J339" s="276">
        <f t="shared" si="9"/>
        <v>1284</v>
      </c>
      <c r="K339" s="528"/>
      <c r="L339" s="506"/>
      <c r="M339" s="505"/>
      <c r="N339" s="505"/>
      <c r="O339" s="507"/>
      <c r="P339" s="505"/>
    </row>
    <row r="340" spans="2:16" s="326" customFormat="1">
      <c r="B340" s="497">
        <f t="shared" si="10"/>
        <v>43</v>
      </c>
      <c r="C340" s="245" t="s">
        <v>580</v>
      </c>
      <c r="D340" s="245" t="s">
        <v>580</v>
      </c>
      <c r="E340" s="525" t="s">
        <v>1864</v>
      </c>
      <c r="F340" s="526">
        <v>30</v>
      </c>
      <c r="G340" s="263"/>
      <c r="H340" s="527">
        <v>29.96</v>
      </c>
      <c r="I340" s="265"/>
      <c r="J340" s="276">
        <f t="shared" si="9"/>
        <v>898.80000000000007</v>
      </c>
      <c r="K340" s="528"/>
      <c r="L340" s="506"/>
      <c r="M340" s="505"/>
      <c r="N340" s="505"/>
      <c r="O340" s="507"/>
      <c r="P340" s="505"/>
    </row>
    <row r="341" spans="2:16" s="326" customFormat="1">
      <c r="B341" s="497">
        <f t="shared" si="10"/>
        <v>44</v>
      </c>
      <c r="C341" s="245" t="s">
        <v>581</v>
      </c>
      <c r="D341" s="245" t="s">
        <v>581</v>
      </c>
      <c r="E341" s="525" t="s">
        <v>1864</v>
      </c>
      <c r="F341" s="526">
        <v>30</v>
      </c>
      <c r="G341" s="263"/>
      <c r="H341" s="527">
        <v>29.96</v>
      </c>
      <c r="I341" s="265"/>
      <c r="J341" s="276">
        <f t="shared" si="9"/>
        <v>898.80000000000007</v>
      </c>
      <c r="K341" s="528"/>
      <c r="L341" s="506"/>
      <c r="M341" s="505"/>
      <c r="N341" s="505"/>
      <c r="O341" s="507"/>
      <c r="P341" s="505"/>
    </row>
    <row r="342" spans="2:16" s="326" customFormat="1">
      <c r="B342" s="497">
        <f t="shared" si="10"/>
        <v>45</v>
      </c>
      <c r="C342" s="245" t="s">
        <v>582</v>
      </c>
      <c r="D342" s="245" t="s">
        <v>582</v>
      </c>
      <c r="E342" s="525" t="s">
        <v>1864</v>
      </c>
      <c r="F342" s="526">
        <v>30</v>
      </c>
      <c r="G342" s="263"/>
      <c r="H342" s="527">
        <v>29.96</v>
      </c>
      <c r="I342" s="265"/>
      <c r="J342" s="276">
        <f t="shared" si="9"/>
        <v>898.80000000000007</v>
      </c>
      <c r="K342" s="528"/>
      <c r="L342" s="506"/>
      <c r="M342" s="505"/>
      <c r="N342" s="505"/>
      <c r="O342" s="507"/>
      <c r="P342" s="505"/>
    </row>
    <row r="343" spans="2:16" s="326" customFormat="1">
      <c r="B343" s="497">
        <f t="shared" si="10"/>
        <v>46</v>
      </c>
      <c r="C343" s="245" t="s">
        <v>583</v>
      </c>
      <c r="D343" s="245" t="s">
        <v>583</v>
      </c>
      <c r="E343" s="525" t="s">
        <v>1864</v>
      </c>
      <c r="F343" s="526">
        <v>70</v>
      </c>
      <c r="G343" s="263"/>
      <c r="H343" s="527">
        <v>92.02</v>
      </c>
      <c r="I343" s="265"/>
      <c r="J343" s="276">
        <f t="shared" si="9"/>
        <v>6441.4</v>
      </c>
      <c r="K343" s="528"/>
      <c r="L343" s="506"/>
      <c r="M343" s="505"/>
      <c r="N343" s="505"/>
      <c r="O343" s="507"/>
      <c r="P343" s="505"/>
    </row>
    <row r="344" spans="2:16" s="326" customFormat="1">
      <c r="B344" s="497">
        <f t="shared" si="10"/>
        <v>47</v>
      </c>
      <c r="C344" s="245" t="s">
        <v>584</v>
      </c>
      <c r="D344" s="245" t="s">
        <v>584</v>
      </c>
      <c r="E344" s="525" t="s">
        <v>1864</v>
      </c>
      <c r="F344" s="526">
        <v>80</v>
      </c>
      <c r="G344" s="263"/>
      <c r="H344" s="527">
        <v>92.02</v>
      </c>
      <c r="I344" s="265"/>
      <c r="J344" s="276">
        <f t="shared" si="9"/>
        <v>7361.5999999999995</v>
      </c>
      <c r="K344" s="528"/>
      <c r="L344" s="506"/>
      <c r="M344" s="505"/>
      <c r="N344" s="505"/>
      <c r="O344" s="507"/>
      <c r="P344" s="505"/>
    </row>
    <row r="345" spans="2:16" s="326" customFormat="1">
      <c r="B345" s="497">
        <f t="shared" si="10"/>
        <v>48</v>
      </c>
      <c r="C345" s="245" t="s">
        <v>585</v>
      </c>
      <c r="D345" s="245" t="s">
        <v>585</v>
      </c>
      <c r="E345" s="525" t="s">
        <v>1864</v>
      </c>
      <c r="F345" s="526">
        <v>30</v>
      </c>
      <c r="G345" s="263"/>
      <c r="H345" s="527">
        <v>94.16</v>
      </c>
      <c r="I345" s="265"/>
      <c r="J345" s="276">
        <f t="shared" si="9"/>
        <v>2824.7999999999997</v>
      </c>
      <c r="K345" s="528"/>
      <c r="L345" s="506"/>
      <c r="M345" s="505"/>
      <c r="N345" s="505"/>
      <c r="O345" s="507"/>
      <c r="P345" s="505"/>
    </row>
    <row r="346" spans="2:16" s="326" customFormat="1">
      <c r="B346" s="497">
        <f t="shared" si="10"/>
        <v>49</v>
      </c>
      <c r="C346" s="245" t="s">
        <v>24</v>
      </c>
      <c r="D346" s="245" t="s">
        <v>24</v>
      </c>
      <c r="E346" s="525" t="s">
        <v>1864</v>
      </c>
      <c r="F346" s="526">
        <v>100</v>
      </c>
      <c r="G346" s="533"/>
      <c r="H346" s="263">
        <v>94.16</v>
      </c>
      <c r="I346" s="532"/>
      <c r="J346" s="499">
        <f t="shared" si="9"/>
        <v>9416</v>
      </c>
      <c r="K346" s="528"/>
      <c r="L346" s="506"/>
      <c r="M346" s="505"/>
      <c r="N346" s="505"/>
      <c r="O346" s="507"/>
      <c r="P346" s="505"/>
    </row>
    <row r="347" spans="2:16" s="326" customFormat="1">
      <c r="B347" s="497">
        <f t="shared" si="10"/>
        <v>50</v>
      </c>
      <c r="C347" s="245" t="s">
        <v>25</v>
      </c>
      <c r="D347" s="245" t="s">
        <v>25</v>
      </c>
      <c r="E347" s="525" t="s">
        <v>1864</v>
      </c>
      <c r="F347" s="526">
        <v>100</v>
      </c>
      <c r="G347" s="533"/>
      <c r="H347" s="263">
        <v>94.16</v>
      </c>
      <c r="I347" s="532"/>
      <c r="J347" s="499">
        <f t="shared" si="9"/>
        <v>9416</v>
      </c>
      <c r="K347" s="528"/>
      <c r="L347" s="506"/>
      <c r="M347" s="505"/>
      <c r="N347" s="505"/>
      <c r="O347" s="507"/>
      <c r="P347" s="505"/>
    </row>
    <row r="348" spans="2:16" s="326" customFormat="1">
      <c r="B348" s="497">
        <f t="shared" si="10"/>
        <v>51</v>
      </c>
      <c r="C348" s="245" t="s">
        <v>586</v>
      </c>
      <c r="D348" s="245" t="s">
        <v>586</v>
      </c>
      <c r="E348" s="525" t="s">
        <v>1864</v>
      </c>
      <c r="F348" s="526">
        <v>10</v>
      </c>
      <c r="G348" s="263"/>
      <c r="H348" s="527">
        <v>80.25</v>
      </c>
      <c r="I348" s="265"/>
      <c r="J348" s="276">
        <f t="shared" si="9"/>
        <v>802.5</v>
      </c>
      <c r="K348" s="528"/>
      <c r="L348" s="506"/>
      <c r="M348" s="505"/>
      <c r="N348" s="505"/>
      <c r="O348" s="507"/>
      <c r="P348" s="505"/>
    </row>
    <row r="349" spans="2:16" s="326" customFormat="1" ht="26.25">
      <c r="B349" s="497">
        <f t="shared" si="10"/>
        <v>52</v>
      </c>
      <c r="C349" s="245" t="s">
        <v>587</v>
      </c>
      <c r="D349" s="245" t="s">
        <v>587</v>
      </c>
      <c r="E349" s="525" t="s">
        <v>504</v>
      </c>
      <c r="F349" s="526">
        <v>10</v>
      </c>
      <c r="G349" s="263"/>
      <c r="H349" s="527">
        <v>1177</v>
      </c>
      <c r="I349" s="265"/>
      <c r="J349" s="276">
        <f t="shared" si="9"/>
        <v>11770</v>
      </c>
      <c r="K349" s="528"/>
      <c r="L349" s="506"/>
      <c r="M349" s="505"/>
      <c r="N349" s="505"/>
      <c r="O349" s="507"/>
      <c r="P349" s="505"/>
    </row>
    <row r="350" spans="2:16" s="326" customFormat="1">
      <c r="B350" s="497">
        <f t="shared" si="10"/>
        <v>53</v>
      </c>
      <c r="C350" s="245" t="s">
        <v>26</v>
      </c>
      <c r="D350" s="245" t="s">
        <v>26</v>
      </c>
      <c r="E350" s="525" t="s">
        <v>1864</v>
      </c>
      <c r="F350" s="526">
        <v>30</v>
      </c>
      <c r="G350" s="263"/>
      <c r="H350" s="527">
        <v>615.25</v>
      </c>
      <c r="I350" s="265"/>
      <c r="J350" s="276">
        <f t="shared" si="9"/>
        <v>18457.5</v>
      </c>
      <c r="K350" s="528"/>
      <c r="L350" s="506"/>
      <c r="M350" s="505"/>
      <c r="N350" s="505"/>
      <c r="O350" s="507"/>
      <c r="P350" s="505"/>
    </row>
    <row r="351" spans="2:16" s="326" customFormat="1">
      <c r="B351" s="497">
        <f t="shared" si="10"/>
        <v>54</v>
      </c>
      <c r="C351" s="245" t="s">
        <v>588</v>
      </c>
      <c r="D351" s="245" t="s">
        <v>588</v>
      </c>
      <c r="E351" s="525" t="s">
        <v>1864</v>
      </c>
      <c r="F351" s="526">
        <v>100</v>
      </c>
      <c r="G351" s="263"/>
      <c r="H351" s="527">
        <v>39.590000000000003</v>
      </c>
      <c r="I351" s="265"/>
      <c r="J351" s="276">
        <f t="shared" si="9"/>
        <v>3959.0000000000005</v>
      </c>
      <c r="K351" s="528"/>
      <c r="L351" s="506"/>
      <c r="M351" s="505"/>
      <c r="N351" s="505"/>
      <c r="O351" s="507"/>
      <c r="P351" s="505"/>
    </row>
    <row r="352" spans="2:16" s="326" customFormat="1">
      <c r="B352" s="497">
        <f t="shared" si="10"/>
        <v>55</v>
      </c>
      <c r="C352" s="245" t="s">
        <v>589</v>
      </c>
      <c r="D352" s="245" t="s">
        <v>589</v>
      </c>
      <c r="E352" s="525" t="s">
        <v>1864</v>
      </c>
      <c r="F352" s="526">
        <v>30</v>
      </c>
      <c r="G352" s="263"/>
      <c r="H352" s="527">
        <v>99.51</v>
      </c>
      <c r="I352" s="265"/>
      <c r="J352" s="276">
        <f t="shared" si="9"/>
        <v>2985.3</v>
      </c>
      <c r="K352" s="528"/>
      <c r="L352" s="506"/>
      <c r="M352" s="505"/>
      <c r="N352" s="505"/>
      <c r="O352" s="507"/>
      <c r="P352" s="505"/>
    </row>
    <row r="353" spans="2:16" s="326" customFormat="1" ht="26.25">
      <c r="B353" s="497">
        <f t="shared" si="10"/>
        <v>56</v>
      </c>
      <c r="C353" s="245" t="s">
        <v>27</v>
      </c>
      <c r="D353" s="245" t="s">
        <v>27</v>
      </c>
      <c r="E353" s="525" t="s">
        <v>1864</v>
      </c>
      <c r="F353" s="525">
        <v>20</v>
      </c>
      <c r="G353" s="263"/>
      <c r="H353" s="527">
        <v>103.79</v>
      </c>
      <c r="I353" s="265"/>
      <c r="J353" s="276">
        <f t="shared" si="9"/>
        <v>2075.8000000000002</v>
      </c>
      <c r="K353" s="528"/>
      <c r="L353" s="506"/>
      <c r="M353" s="505"/>
      <c r="N353" s="505"/>
      <c r="O353" s="507"/>
      <c r="P353" s="505"/>
    </row>
    <row r="354" spans="2:16" s="326" customFormat="1">
      <c r="B354" s="497">
        <f t="shared" si="10"/>
        <v>57</v>
      </c>
      <c r="C354" s="245" t="s">
        <v>28</v>
      </c>
      <c r="D354" s="245" t="s">
        <v>28</v>
      </c>
      <c r="E354" s="525" t="s">
        <v>1864</v>
      </c>
      <c r="F354" s="525">
        <v>20</v>
      </c>
      <c r="G354" s="263"/>
      <c r="H354" s="527">
        <v>88.81</v>
      </c>
      <c r="I354" s="265"/>
      <c r="J354" s="276">
        <f t="shared" si="9"/>
        <v>1776.2</v>
      </c>
      <c r="K354" s="528"/>
      <c r="L354" s="506"/>
      <c r="M354" s="505"/>
      <c r="N354" s="505"/>
      <c r="O354" s="507"/>
      <c r="P354" s="505"/>
    </row>
    <row r="355" spans="2:16" s="326" customFormat="1">
      <c r="B355" s="497">
        <f t="shared" si="10"/>
        <v>58</v>
      </c>
      <c r="C355" s="245" t="s">
        <v>29</v>
      </c>
      <c r="D355" s="245" t="s">
        <v>29</v>
      </c>
      <c r="E355" s="525" t="s">
        <v>1864</v>
      </c>
      <c r="F355" s="525">
        <v>20</v>
      </c>
      <c r="G355" s="263"/>
      <c r="H355" s="527">
        <v>59.92</v>
      </c>
      <c r="I355" s="265"/>
      <c r="J355" s="276">
        <f t="shared" si="9"/>
        <v>1198.4000000000001</v>
      </c>
      <c r="K355" s="528"/>
      <c r="L355" s="506"/>
      <c r="M355" s="505"/>
      <c r="N355" s="505"/>
      <c r="O355" s="507"/>
      <c r="P355" s="505"/>
    </row>
    <row r="356" spans="2:16" s="326" customFormat="1" ht="26.25">
      <c r="B356" s="497">
        <f t="shared" si="10"/>
        <v>59</v>
      </c>
      <c r="C356" s="245" t="s">
        <v>30</v>
      </c>
      <c r="D356" s="245" t="s">
        <v>30</v>
      </c>
      <c r="E356" s="525" t="s">
        <v>1864</v>
      </c>
      <c r="F356" s="525">
        <v>500</v>
      </c>
      <c r="G356" s="263"/>
      <c r="H356" s="527">
        <v>57.78</v>
      </c>
      <c r="I356" s="265"/>
      <c r="J356" s="276">
        <f t="shared" si="9"/>
        <v>28890</v>
      </c>
      <c r="K356" s="528"/>
      <c r="L356" s="506"/>
      <c r="M356" s="505"/>
      <c r="N356" s="505"/>
      <c r="O356" s="507"/>
      <c r="P356" s="505"/>
    </row>
    <row r="357" spans="2:16" s="326" customFormat="1">
      <c r="B357" s="497">
        <f t="shared" si="10"/>
        <v>60</v>
      </c>
      <c r="C357" s="245" t="s">
        <v>31</v>
      </c>
      <c r="D357" s="245" t="s">
        <v>31</v>
      </c>
      <c r="E357" s="525" t="s">
        <v>1864</v>
      </c>
      <c r="F357" s="525">
        <v>300</v>
      </c>
      <c r="G357" s="263"/>
      <c r="H357" s="527">
        <v>171.2</v>
      </c>
      <c r="I357" s="265"/>
      <c r="J357" s="276">
        <f t="shared" si="9"/>
        <v>51360</v>
      </c>
      <c r="K357" s="528"/>
      <c r="L357" s="506"/>
      <c r="M357" s="505"/>
      <c r="N357" s="505"/>
      <c r="O357" s="507"/>
      <c r="P357" s="505"/>
    </row>
    <row r="358" spans="2:16" s="326" customFormat="1" ht="26.25">
      <c r="B358" s="497">
        <f t="shared" si="10"/>
        <v>61</v>
      </c>
      <c r="C358" s="245" t="s">
        <v>32</v>
      </c>
      <c r="D358" s="245" t="s">
        <v>32</v>
      </c>
      <c r="E358" s="525" t="s">
        <v>1864</v>
      </c>
      <c r="F358" s="525">
        <v>24</v>
      </c>
      <c r="G358" s="263"/>
      <c r="H358" s="527">
        <v>28.89</v>
      </c>
      <c r="I358" s="265"/>
      <c r="J358" s="276">
        <f t="shared" si="9"/>
        <v>693.36</v>
      </c>
      <c r="K358" s="528"/>
      <c r="L358" s="506"/>
      <c r="M358" s="505"/>
      <c r="N358" s="505"/>
      <c r="O358" s="507"/>
      <c r="P358" s="505"/>
    </row>
    <row r="359" spans="2:16" s="326" customFormat="1" ht="26.25">
      <c r="B359" s="497">
        <f t="shared" si="10"/>
        <v>62</v>
      </c>
      <c r="C359" s="245" t="s">
        <v>33</v>
      </c>
      <c r="D359" s="245" t="s">
        <v>33</v>
      </c>
      <c r="E359" s="525" t="s">
        <v>1864</v>
      </c>
      <c r="F359" s="525">
        <v>200</v>
      </c>
      <c r="G359" s="263"/>
      <c r="H359" s="527">
        <v>28.89</v>
      </c>
      <c r="I359" s="265"/>
      <c r="J359" s="276">
        <f t="shared" si="9"/>
        <v>5778</v>
      </c>
      <c r="K359" s="528"/>
      <c r="L359" s="506"/>
      <c r="M359" s="505"/>
      <c r="N359" s="505"/>
      <c r="O359" s="507"/>
      <c r="P359" s="505"/>
    </row>
    <row r="360" spans="2:16" s="326" customFormat="1" ht="26.25">
      <c r="B360" s="497">
        <f t="shared" si="10"/>
        <v>63</v>
      </c>
      <c r="C360" s="245" t="s">
        <v>34</v>
      </c>
      <c r="D360" s="245" t="s">
        <v>34</v>
      </c>
      <c r="E360" s="525" t="s">
        <v>1864</v>
      </c>
      <c r="F360" s="525">
        <v>200</v>
      </c>
      <c r="G360" s="263"/>
      <c r="H360" s="527">
        <v>28.89</v>
      </c>
      <c r="I360" s="265"/>
      <c r="J360" s="276">
        <f t="shared" si="9"/>
        <v>5778</v>
      </c>
      <c r="K360" s="528"/>
      <c r="L360" s="506"/>
      <c r="M360" s="505"/>
      <c r="N360" s="505"/>
      <c r="O360" s="507"/>
      <c r="P360" s="505"/>
    </row>
    <row r="361" spans="2:16" s="326" customFormat="1" ht="26.25">
      <c r="B361" s="497">
        <f t="shared" si="10"/>
        <v>64</v>
      </c>
      <c r="C361" s="245" t="s">
        <v>35</v>
      </c>
      <c r="D361" s="245" t="s">
        <v>35</v>
      </c>
      <c r="E361" s="525" t="s">
        <v>1864</v>
      </c>
      <c r="F361" s="525">
        <v>200</v>
      </c>
      <c r="G361" s="263"/>
      <c r="H361" s="527">
        <v>28.89</v>
      </c>
      <c r="I361" s="265"/>
      <c r="J361" s="276">
        <f t="shared" si="9"/>
        <v>5778</v>
      </c>
      <c r="K361" s="528"/>
      <c r="L361" s="506"/>
      <c r="M361" s="505"/>
      <c r="N361" s="505"/>
      <c r="O361" s="507"/>
      <c r="P361" s="505"/>
    </row>
    <row r="362" spans="2:16" s="326" customFormat="1" ht="26.25">
      <c r="B362" s="497">
        <f t="shared" si="10"/>
        <v>65</v>
      </c>
      <c r="C362" s="245" t="s">
        <v>36</v>
      </c>
      <c r="D362" s="245" t="s">
        <v>36</v>
      </c>
      <c r="E362" s="525" t="s">
        <v>1864</v>
      </c>
      <c r="F362" s="525">
        <v>10</v>
      </c>
      <c r="G362" s="263"/>
      <c r="H362" s="527">
        <v>114.49</v>
      </c>
      <c r="I362" s="265"/>
      <c r="J362" s="276">
        <f t="shared" si="9"/>
        <v>1144.8999999999999</v>
      </c>
      <c r="K362" s="528"/>
      <c r="L362" s="506"/>
      <c r="M362" s="505"/>
      <c r="N362" s="505"/>
      <c r="O362" s="507"/>
      <c r="P362" s="505"/>
    </row>
    <row r="363" spans="2:16" s="326" customFormat="1" ht="26.25">
      <c r="B363" s="497">
        <f t="shared" si="10"/>
        <v>66</v>
      </c>
      <c r="C363" s="245" t="s">
        <v>590</v>
      </c>
      <c r="D363" s="245" t="s">
        <v>590</v>
      </c>
      <c r="E363" s="525" t="s">
        <v>504</v>
      </c>
      <c r="F363" s="525">
        <v>10</v>
      </c>
      <c r="G363" s="263"/>
      <c r="H363" s="527">
        <v>298.52999999999997</v>
      </c>
      <c r="I363" s="265"/>
      <c r="J363" s="276">
        <f t="shared" ref="J363:J420" si="11">F363*H363</f>
        <v>2985.2999999999997</v>
      </c>
      <c r="K363" s="528"/>
      <c r="L363" s="506"/>
      <c r="M363" s="505"/>
      <c r="N363" s="505"/>
      <c r="O363" s="507"/>
      <c r="P363" s="505"/>
    </row>
    <row r="364" spans="2:16" s="326" customFormat="1" ht="26.25">
      <c r="B364" s="497">
        <f t="shared" ref="B364:B419" si="12">1+B363</f>
        <v>67</v>
      </c>
      <c r="C364" s="245" t="s">
        <v>591</v>
      </c>
      <c r="D364" s="245" t="s">
        <v>591</v>
      </c>
      <c r="E364" s="525" t="s">
        <v>504</v>
      </c>
      <c r="F364" s="525">
        <v>10</v>
      </c>
      <c r="G364" s="263"/>
      <c r="H364" s="527">
        <v>298.52999999999997</v>
      </c>
      <c r="I364" s="265"/>
      <c r="J364" s="276">
        <f t="shared" si="11"/>
        <v>2985.2999999999997</v>
      </c>
      <c r="K364" s="528"/>
      <c r="L364" s="506"/>
      <c r="M364" s="505"/>
      <c r="N364" s="505"/>
      <c r="O364" s="507"/>
      <c r="P364" s="505"/>
    </row>
    <row r="365" spans="2:16" s="326" customFormat="1" ht="26.25">
      <c r="B365" s="497">
        <f t="shared" si="12"/>
        <v>68</v>
      </c>
      <c r="C365" s="245" t="s">
        <v>592</v>
      </c>
      <c r="D365" s="245" t="s">
        <v>592</v>
      </c>
      <c r="E365" s="525" t="s">
        <v>504</v>
      </c>
      <c r="F365" s="525">
        <v>10</v>
      </c>
      <c r="G365" s="263"/>
      <c r="H365" s="527">
        <v>298.52999999999997</v>
      </c>
      <c r="I365" s="265"/>
      <c r="J365" s="276">
        <f t="shared" si="11"/>
        <v>2985.2999999999997</v>
      </c>
      <c r="K365" s="528"/>
      <c r="L365" s="506"/>
      <c r="M365" s="505"/>
      <c r="N365" s="505"/>
      <c r="O365" s="507"/>
      <c r="P365" s="505"/>
    </row>
    <row r="366" spans="2:16" s="326" customFormat="1" ht="26.25">
      <c r="B366" s="497">
        <f t="shared" si="12"/>
        <v>69</v>
      </c>
      <c r="C366" s="245" t="s">
        <v>687</v>
      </c>
      <c r="D366" s="245" t="s">
        <v>687</v>
      </c>
      <c r="E366" s="525" t="s">
        <v>504</v>
      </c>
      <c r="F366" s="525">
        <v>10</v>
      </c>
      <c r="G366" s="263"/>
      <c r="H366" s="527">
        <v>298.52999999999997</v>
      </c>
      <c r="I366" s="265"/>
      <c r="J366" s="276">
        <f t="shared" si="11"/>
        <v>2985.2999999999997</v>
      </c>
      <c r="K366" s="528"/>
      <c r="L366" s="506"/>
      <c r="M366" s="505"/>
      <c r="N366" s="505"/>
      <c r="O366" s="507"/>
      <c r="P366" s="505"/>
    </row>
    <row r="367" spans="2:16" s="326" customFormat="1">
      <c r="B367" s="497">
        <f t="shared" si="12"/>
        <v>70</v>
      </c>
      <c r="C367" s="245" t="s">
        <v>593</v>
      </c>
      <c r="D367" s="245" t="s">
        <v>593</v>
      </c>
      <c r="E367" s="525" t="s">
        <v>1864</v>
      </c>
      <c r="F367" s="525">
        <v>50</v>
      </c>
      <c r="G367" s="263"/>
      <c r="H367" s="527">
        <v>41.73</v>
      </c>
      <c r="I367" s="265"/>
      <c r="J367" s="276">
        <f t="shared" si="11"/>
        <v>2086.5</v>
      </c>
      <c r="K367" s="528"/>
      <c r="L367" s="506"/>
      <c r="M367" s="505"/>
      <c r="N367" s="505"/>
      <c r="O367" s="507"/>
      <c r="P367" s="505"/>
    </row>
    <row r="368" spans="2:16" s="326" customFormat="1">
      <c r="B368" s="497">
        <f t="shared" si="12"/>
        <v>71</v>
      </c>
      <c r="C368" s="245" t="s">
        <v>594</v>
      </c>
      <c r="D368" s="245" t="s">
        <v>594</v>
      </c>
      <c r="E368" s="525" t="s">
        <v>1864</v>
      </c>
      <c r="F368" s="525">
        <v>50</v>
      </c>
      <c r="G368" s="263"/>
      <c r="H368" s="527">
        <v>41.73</v>
      </c>
      <c r="I368" s="265"/>
      <c r="J368" s="276">
        <f t="shared" si="11"/>
        <v>2086.5</v>
      </c>
      <c r="K368" s="528"/>
      <c r="L368" s="506"/>
      <c r="M368" s="505"/>
      <c r="N368" s="505"/>
      <c r="O368" s="507"/>
      <c r="P368" s="505"/>
    </row>
    <row r="369" spans="2:16" s="326" customFormat="1">
      <c r="B369" s="497">
        <f t="shared" si="12"/>
        <v>72</v>
      </c>
      <c r="C369" s="245" t="s">
        <v>595</v>
      </c>
      <c r="D369" s="245" t="s">
        <v>595</v>
      </c>
      <c r="E369" s="525" t="s">
        <v>1864</v>
      </c>
      <c r="F369" s="525">
        <v>150</v>
      </c>
      <c r="G369" s="263"/>
      <c r="H369" s="527">
        <v>41.73</v>
      </c>
      <c r="I369" s="265"/>
      <c r="J369" s="276">
        <f t="shared" si="11"/>
        <v>6259.4999999999991</v>
      </c>
      <c r="K369" s="528"/>
      <c r="L369" s="506"/>
      <c r="M369" s="505"/>
      <c r="N369" s="505"/>
      <c r="O369" s="507"/>
      <c r="P369" s="505"/>
    </row>
    <row r="370" spans="2:16" s="338" customFormat="1">
      <c r="B370" s="497">
        <f t="shared" si="12"/>
        <v>73</v>
      </c>
      <c r="C370" s="245" t="s">
        <v>596</v>
      </c>
      <c r="D370" s="245" t="s">
        <v>596</v>
      </c>
      <c r="E370" s="525" t="s">
        <v>1864</v>
      </c>
      <c r="F370" s="525">
        <v>50</v>
      </c>
      <c r="G370" s="263"/>
      <c r="H370" s="527">
        <v>115.56</v>
      </c>
      <c r="I370" s="265"/>
      <c r="J370" s="276">
        <f t="shared" si="11"/>
        <v>5778</v>
      </c>
      <c r="K370" s="528"/>
      <c r="L370" s="506"/>
      <c r="M370" s="505"/>
      <c r="N370" s="505"/>
      <c r="O370" s="507"/>
      <c r="P370" s="505"/>
    </row>
    <row r="371" spans="2:16" s="326" customFormat="1" ht="26.25">
      <c r="B371" s="497">
        <f t="shared" si="12"/>
        <v>74</v>
      </c>
      <c r="C371" s="245" t="s">
        <v>37</v>
      </c>
      <c r="D371" s="245" t="s">
        <v>37</v>
      </c>
      <c r="E371" s="525" t="s">
        <v>1864</v>
      </c>
      <c r="F371" s="525">
        <v>100</v>
      </c>
      <c r="G371" s="263"/>
      <c r="H371" s="527">
        <v>60.99</v>
      </c>
      <c r="I371" s="265"/>
      <c r="J371" s="276">
        <f t="shared" si="11"/>
        <v>6099</v>
      </c>
      <c r="K371" s="528"/>
      <c r="L371" s="506"/>
      <c r="M371" s="505"/>
      <c r="N371" s="505"/>
      <c r="O371" s="507"/>
      <c r="P371" s="505"/>
    </row>
    <row r="372" spans="2:16" s="326" customFormat="1" ht="26.25">
      <c r="B372" s="497">
        <f t="shared" si="12"/>
        <v>75</v>
      </c>
      <c r="C372" s="245" t="s">
        <v>38</v>
      </c>
      <c r="D372" s="245" t="s">
        <v>38</v>
      </c>
      <c r="E372" s="525" t="s">
        <v>1864</v>
      </c>
      <c r="F372" s="525">
        <v>100</v>
      </c>
      <c r="G372" s="263"/>
      <c r="H372" s="527">
        <v>60.99</v>
      </c>
      <c r="I372" s="265"/>
      <c r="J372" s="276">
        <f t="shared" si="11"/>
        <v>6099</v>
      </c>
      <c r="K372" s="528"/>
      <c r="L372" s="506"/>
      <c r="M372" s="505"/>
      <c r="N372" s="505"/>
      <c r="O372" s="507"/>
      <c r="P372" s="505"/>
    </row>
    <row r="373" spans="2:16" s="326" customFormat="1">
      <c r="B373" s="497">
        <f t="shared" si="12"/>
        <v>76</v>
      </c>
      <c r="C373" s="245" t="s">
        <v>597</v>
      </c>
      <c r="D373" s="245" t="s">
        <v>597</v>
      </c>
      <c r="E373" s="525" t="s">
        <v>1864</v>
      </c>
      <c r="F373" s="525">
        <v>150</v>
      </c>
      <c r="G373" s="263"/>
      <c r="H373" s="527">
        <v>4.28</v>
      </c>
      <c r="I373" s="265"/>
      <c r="J373" s="276">
        <f t="shared" si="11"/>
        <v>642</v>
      </c>
      <c r="K373" s="528"/>
      <c r="L373" s="506"/>
      <c r="M373" s="505"/>
      <c r="N373" s="505"/>
      <c r="O373" s="507"/>
      <c r="P373" s="505"/>
    </row>
    <row r="374" spans="2:16" s="326" customFormat="1">
      <c r="B374" s="497">
        <f t="shared" si="12"/>
        <v>77</v>
      </c>
      <c r="C374" s="245" t="s">
        <v>598</v>
      </c>
      <c r="D374" s="245" t="s">
        <v>598</v>
      </c>
      <c r="E374" s="525" t="s">
        <v>1864</v>
      </c>
      <c r="F374" s="525">
        <v>3</v>
      </c>
      <c r="G374" s="263"/>
      <c r="H374" s="527">
        <v>395.9</v>
      </c>
      <c r="I374" s="265"/>
      <c r="J374" s="276">
        <f t="shared" si="11"/>
        <v>1187.6999999999998</v>
      </c>
      <c r="K374" s="528"/>
      <c r="L374" s="506"/>
      <c r="M374" s="505"/>
      <c r="N374" s="505"/>
      <c r="O374" s="507"/>
      <c r="P374" s="505"/>
    </row>
    <row r="375" spans="2:16" s="326" customFormat="1">
      <c r="B375" s="497">
        <f t="shared" si="12"/>
        <v>78</v>
      </c>
      <c r="C375" s="245" t="s">
        <v>599</v>
      </c>
      <c r="D375" s="245" t="s">
        <v>599</v>
      </c>
      <c r="E375" s="525" t="s">
        <v>1864</v>
      </c>
      <c r="F375" s="525">
        <v>150</v>
      </c>
      <c r="G375" s="263"/>
      <c r="H375" s="527">
        <v>17</v>
      </c>
      <c r="I375" s="265"/>
      <c r="J375" s="276">
        <f t="shared" si="11"/>
        <v>2550</v>
      </c>
      <c r="K375" s="528"/>
      <c r="L375" s="506"/>
      <c r="M375" s="505"/>
      <c r="N375" s="505"/>
      <c r="O375" s="507"/>
      <c r="P375" s="505"/>
    </row>
    <row r="376" spans="2:16" s="326" customFormat="1">
      <c r="B376" s="497">
        <f t="shared" si="12"/>
        <v>79</v>
      </c>
      <c r="C376" s="245" t="s">
        <v>39</v>
      </c>
      <c r="D376" s="245" t="s">
        <v>39</v>
      </c>
      <c r="E376" s="525" t="s">
        <v>1864</v>
      </c>
      <c r="F376" s="525">
        <v>150</v>
      </c>
      <c r="G376" s="263"/>
      <c r="H376" s="527">
        <v>417.3</v>
      </c>
      <c r="I376" s="265"/>
      <c r="J376" s="276">
        <f t="shared" si="11"/>
        <v>62595</v>
      </c>
      <c r="K376" s="528"/>
      <c r="L376" s="506"/>
      <c r="M376" s="505"/>
      <c r="N376" s="505"/>
      <c r="O376" s="507"/>
      <c r="P376" s="505"/>
    </row>
    <row r="377" spans="2:16" s="326" customFormat="1">
      <c r="B377" s="497">
        <f t="shared" si="12"/>
        <v>80</v>
      </c>
      <c r="C377" s="245" t="s">
        <v>40</v>
      </c>
      <c r="D377" s="245" t="s">
        <v>40</v>
      </c>
      <c r="E377" s="525" t="s">
        <v>1864</v>
      </c>
      <c r="F377" s="525">
        <v>50</v>
      </c>
      <c r="G377" s="263"/>
      <c r="H377" s="527">
        <v>709.41</v>
      </c>
      <c r="I377" s="265"/>
      <c r="J377" s="276">
        <f t="shared" si="11"/>
        <v>35470.5</v>
      </c>
      <c r="K377" s="528"/>
      <c r="L377" s="506"/>
      <c r="M377" s="505"/>
      <c r="N377" s="505"/>
      <c r="O377" s="507"/>
      <c r="P377" s="505"/>
    </row>
    <row r="378" spans="2:16" s="326" customFormat="1">
      <c r="B378" s="497">
        <f t="shared" si="12"/>
        <v>81</v>
      </c>
      <c r="C378" s="245" t="s">
        <v>600</v>
      </c>
      <c r="D378" s="245" t="s">
        <v>600</v>
      </c>
      <c r="E378" s="525" t="s">
        <v>1864</v>
      </c>
      <c r="F378" s="525">
        <v>1000</v>
      </c>
      <c r="G378" s="263"/>
      <c r="H378" s="527">
        <v>36.380000000000003</v>
      </c>
      <c r="I378" s="265"/>
      <c r="J378" s="276">
        <f t="shared" si="11"/>
        <v>36380</v>
      </c>
      <c r="K378" s="528"/>
      <c r="L378" s="506"/>
      <c r="M378" s="505"/>
      <c r="N378" s="505"/>
      <c r="O378" s="507"/>
      <c r="P378" s="505"/>
    </row>
    <row r="379" spans="2:16" s="326" customFormat="1">
      <c r="B379" s="497">
        <f t="shared" si="12"/>
        <v>82</v>
      </c>
      <c r="C379" s="245" t="s">
        <v>601</v>
      </c>
      <c r="D379" s="245" t="s">
        <v>601</v>
      </c>
      <c r="E379" s="525" t="s">
        <v>1864</v>
      </c>
      <c r="F379" s="525">
        <v>1000</v>
      </c>
      <c r="G379" s="263"/>
      <c r="H379" s="527">
        <v>5.35</v>
      </c>
      <c r="I379" s="265"/>
      <c r="J379" s="276">
        <f t="shared" si="11"/>
        <v>5350</v>
      </c>
      <c r="K379" s="528"/>
      <c r="L379" s="506"/>
      <c r="M379" s="505"/>
      <c r="N379" s="505"/>
      <c r="O379" s="507"/>
      <c r="P379" s="505"/>
    </row>
    <row r="380" spans="2:16" s="326" customFormat="1">
      <c r="B380" s="497">
        <f t="shared" si="12"/>
        <v>83</v>
      </c>
      <c r="C380" s="245" t="s">
        <v>602</v>
      </c>
      <c r="D380" s="245" t="s">
        <v>602</v>
      </c>
      <c r="E380" s="525" t="s">
        <v>1864</v>
      </c>
      <c r="F380" s="525">
        <v>5</v>
      </c>
      <c r="G380" s="263"/>
      <c r="H380" s="527">
        <v>16.05</v>
      </c>
      <c r="I380" s="265"/>
      <c r="J380" s="276">
        <f t="shared" si="11"/>
        <v>80.25</v>
      </c>
      <c r="K380" s="528"/>
      <c r="L380" s="506"/>
      <c r="M380" s="505"/>
      <c r="N380" s="505"/>
      <c r="O380" s="507"/>
      <c r="P380" s="505"/>
    </row>
    <row r="381" spans="2:16" s="326" customFormat="1">
      <c r="B381" s="497">
        <f t="shared" si="12"/>
        <v>84</v>
      </c>
      <c r="C381" s="245" t="s">
        <v>603</v>
      </c>
      <c r="D381" s="245" t="s">
        <v>603</v>
      </c>
      <c r="E381" s="525" t="s">
        <v>1864</v>
      </c>
      <c r="F381" s="525">
        <v>10</v>
      </c>
      <c r="G381" s="263"/>
      <c r="H381" s="527">
        <v>16.05</v>
      </c>
      <c r="I381" s="265"/>
      <c r="J381" s="276">
        <f t="shared" si="11"/>
        <v>160.5</v>
      </c>
      <c r="K381" s="528"/>
      <c r="L381" s="506"/>
      <c r="M381" s="505"/>
      <c r="N381" s="505"/>
      <c r="O381" s="507"/>
      <c r="P381" s="505"/>
    </row>
    <row r="382" spans="2:16" s="326" customFormat="1">
      <c r="B382" s="497">
        <f t="shared" si="12"/>
        <v>85</v>
      </c>
      <c r="C382" s="245" t="s">
        <v>604</v>
      </c>
      <c r="D382" s="245" t="s">
        <v>604</v>
      </c>
      <c r="E382" s="525" t="s">
        <v>1864</v>
      </c>
      <c r="F382" s="525">
        <v>200</v>
      </c>
      <c r="G382" s="263"/>
      <c r="H382" s="527">
        <v>17.8</v>
      </c>
      <c r="I382" s="265"/>
      <c r="J382" s="276">
        <f t="shared" si="11"/>
        <v>3560</v>
      </c>
      <c r="K382" s="528"/>
      <c r="L382" s="506"/>
      <c r="M382" s="505"/>
      <c r="N382" s="505"/>
      <c r="O382" s="507"/>
      <c r="P382" s="505"/>
    </row>
    <row r="383" spans="2:16" s="326" customFormat="1">
      <c r="B383" s="497">
        <f t="shared" si="12"/>
        <v>86</v>
      </c>
      <c r="C383" s="245" t="s">
        <v>605</v>
      </c>
      <c r="D383" s="245" t="s">
        <v>605</v>
      </c>
      <c r="E383" s="525" t="s">
        <v>1864</v>
      </c>
      <c r="F383" s="525">
        <v>200</v>
      </c>
      <c r="G383" s="263"/>
      <c r="H383" s="527">
        <v>9.6300000000000008</v>
      </c>
      <c r="I383" s="265"/>
      <c r="J383" s="276">
        <f t="shared" si="11"/>
        <v>1926.0000000000002</v>
      </c>
      <c r="K383" s="528"/>
      <c r="L383" s="506"/>
      <c r="M383" s="505"/>
      <c r="N383" s="505"/>
      <c r="O383" s="507"/>
      <c r="P383" s="505"/>
    </row>
    <row r="384" spans="2:16" s="326" customFormat="1">
      <c r="B384" s="497">
        <f t="shared" si="12"/>
        <v>87</v>
      </c>
      <c r="C384" s="245" t="s">
        <v>41</v>
      </c>
      <c r="D384" s="245" t="s">
        <v>41</v>
      </c>
      <c r="E384" s="525" t="s">
        <v>1864</v>
      </c>
      <c r="F384" s="525">
        <v>300</v>
      </c>
      <c r="G384" s="263"/>
      <c r="H384" s="527">
        <v>48.15</v>
      </c>
      <c r="I384" s="265"/>
      <c r="J384" s="276">
        <f t="shared" si="11"/>
        <v>14445</v>
      </c>
      <c r="K384" s="528"/>
      <c r="L384" s="506"/>
      <c r="M384" s="505"/>
      <c r="N384" s="505"/>
      <c r="O384" s="507"/>
      <c r="P384" s="505"/>
    </row>
    <row r="385" spans="2:16" s="326" customFormat="1">
      <c r="B385" s="497">
        <f t="shared" si="12"/>
        <v>88</v>
      </c>
      <c r="C385" s="245" t="s">
        <v>42</v>
      </c>
      <c r="D385" s="245" t="s">
        <v>42</v>
      </c>
      <c r="E385" s="525" t="s">
        <v>1864</v>
      </c>
      <c r="F385" s="525">
        <v>300</v>
      </c>
      <c r="G385" s="263"/>
      <c r="H385" s="527">
        <v>94.16</v>
      </c>
      <c r="I385" s="265"/>
      <c r="J385" s="276">
        <f t="shared" si="11"/>
        <v>28248</v>
      </c>
      <c r="K385" s="528"/>
      <c r="L385" s="506"/>
      <c r="M385" s="505"/>
      <c r="N385" s="505"/>
      <c r="O385" s="507"/>
      <c r="P385" s="505"/>
    </row>
    <row r="386" spans="2:16" s="326" customFormat="1">
      <c r="B386" s="497">
        <f t="shared" si="12"/>
        <v>89</v>
      </c>
      <c r="C386" s="245" t="s">
        <v>43</v>
      </c>
      <c r="D386" s="245" t="s">
        <v>43</v>
      </c>
      <c r="E386" s="525" t="s">
        <v>1864</v>
      </c>
      <c r="F386" s="525">
        <v>300</v>
      </c>
      <c r="G386" s="263"/>
      <c r="H386" s="527">
        <v>85.6</v>
      </c>
      <c r="I386" s="265"/>
      <c r="J386" s="276">
        <f t="shared" si="11"/>
        <v>25680</v>
      </c>
      <c r="K386" s="528"/>
      <c r="L386" s="506"/>
      <c r="M386" s="505"/>
      <c r="N386" s="505"/>
      <c r="O386" s="507"/>
      <c r="P386" s="505"/>
    </row>
    <row r="387" spans="2:16" s="326" customFormat="1">
      <c r="B387" s="497">
        <f t="shared" si="12"/>
        <v>90</v>
      </c>
      <c r="C387" s="245" t="s">
        <v>44</v>
      </c>
      <c r="D387" s="245" t="s">
        <v>44</v>
      </c>
      <c r="E387" s="525" t="s">
        <v>1864</v>
      </c>
      <c r="F387" s="525">
        <v>300</v>
      </c>
      <c r="G387" s="263"/>
      <c r="H387" s="527">
        <v>85.6</v>
      </c>
      <c r="I387" s="265"/>
      <c r="J387" s="276">
        <f t="shared" si="11"/>
        <v>25680</v>
      </c>
      <c r="K387" s="528"/>
      <c r="L387" s="506"/>
      <c r="M387" s="505"/>
      <c r="N387" s="505"/>
      <c r="O387" s="507"/>
      <c r="P387" s="505"/>
    </row>
    <row r="388" spans="2:16" s="326" customFormat="1">
      <c r="B388" s="497">
        <f t="shared" si="12"/>
        <v>91</v>
      </c>
      <c r="C388" s="245" t="s">
        <v>45</v>
      </c>
      <c r="D388" s="245" t="s">
        <v>45</v>
      </c>
      <c r="E388" s="525" t="s">
        <v>1864</v>
      </c>
      <c r="F388" s="525">
        <v>300</v>
      </c>
      <c r="G388" s="263"/>
      <c r="H388" s="527">
        <v>78.11</v>
      </c>
      <c r="I388" s="265"/>
      <c r="J388" s="276">
        <f t="shared" si="11"/>
        <v>23433</v>
      </c>
      <c r="K388" s="528"/>
      <c r="L388" s="506"/>
      <c r="M388" s="505"/>
      <c r="N388" s="505"/>
      <c r="O388" s="507"/>
      <c r="P388" s="505"/>
    </row>
    <row r="389" spans="2:16" s="326" customFormat="1">
      <c r="B389" s="497">
        <f t="shared" si="12"/>
        <v>92</v>
      </c>
      <c r="C389" s="245" t="s">
        <v>46</v>
      </c>
      <c r="D389" s="245" t="s">
        <v>46</v>
      </c>
      <c r="E389" s="525" t="s">
        <v>1864</v>
      </c>
      <c r="F389" s="525">
        <v>200</v>
      </c>
      <c r="G389" s="263"/>
      <c r="H389" s="527">
        <v>74.900000000000006</v>
      </c>
      <c r="I389" s="265"/>
      <c r="J389" s="276">
        <f t="shared" si="11"/>
        <v>14980.000000000002</v>
      </c>
      <c r="K389" s="528"/>
      <c r="L389" s="506"/>
      <c r="M389" s="505"/>
      <c r="N389" s="505"/>
      <c r="O389" s="507"/>
      <c r="P389" s="505"/>
    </row>
    <row r="390" spans="2:16" s="326" customFormat="1">
      <c r="B390" s="497">
        <f t="shared" si="12"/>
        <v>93</v>
      </c>
      <c r="C390" s="245" t="s">
        <v>47</v>
      </c>
      <c r="D390" s="245" t="s">
        <v>47</v>
      </c>
      <c r="E390" s="525" t="s">
        <v>1864</v>
      </c>
      <c r="F390" s="525">
        <v>100</v>
      </c>
      <c r="G390" s="263"/>
      <c r="H390" s="527">
        <v>112.35</v>
      </c>
      <c r="I390" s="265"/>
      <c r="J390" s="276">
        <f t="shared" si="11"/>
        <v>11235</v>
      </c>
      <c r="K390" s="528"/>
      <c r="L390" s="506"/>
      <c r="M390" s="505"/>
      <c r="N390" s="505"/>
      <c r="O390" s="507"/>
      <c r="P390" s="505"/>
    </row>
    <row r="391" spans="2:16" s="326" customFormat="1">
      <c r="B391" s="497">
        <f t="shared" si="12"/>
        <v>94</v>
      </c>
      <c r="C391" s="245" t="s">
        <v>48</v>
      </c>
      <c r="D391" s="245" t="s">
        <v>48</v>
      </c>
      <c r="E391" s="525" t="s">
        <v>1864</v>
      </c>
      <c r="F391" s="525">
        <v>800</v>
      </c>
      <c r="G391" s="263"/>
      <c r="H391" s="527">
        <v>1.5</v>
      </c>
      <c r="I391" s="265"/>
      <c r="J391" s="276">
        <f t="shared" si="11"/>
        <v>1200</v>
      </c>
      <c r="K391" s="528"/>
      <c r="L391" s="506"/>
      <c r="M391" s="505"/>
      <c r="N391" s="505"/>
      <c r="O391" s="507"/>
      <c r="P391" s="505"/>
    </row>
    <row r="392" spans="2:16" s="326" customFormat="1">
      <c r="B392" s="497">
        <f t="shared" si="12"/>
        <v>95</v>
      </c>
      <c r="C392" s="245" t="s">
        <v>606</v>
      </c>
      <c r="D392" s="245" t="s">
        <v>606</v>
      </c>
      <c r="E392" s="525" t="s">
        <v>627</v>
      </c>
      <c r="F392" s="525">
        <v>800</v>
      </c>
      <c r="G392" s="263"/>
      <c r="H392" s="527">
        <v>1.35</v>
      </c>
      <c r="I392" s="265"/>
      <c r="J392" s="276">
        <f t="shared" si="11"/>
        <v>1080</v>
      </c>
      <c r="K392" s="528"/>
      <c r="L392" s="506"/>
      <c r="M392" s="505"/>
      <c r="N392" s="505"/>
      <c r="O392" s="507"/>
      <c r="P392" s="505"/>
    </row>
    <row r="393" spans="2:16" s="326" customFormat="1">
      <c r="B393" s="497">
        <f t="shared" si="12"/>
        <v>96</v>
      </c>
      <c r="C393" s="245" t="s">
        <v>607</v>
      </c>
      <c r="D393" s="245" t="s">
        <v>607</v>
      </c>
      <c r="E393" s="525" t="s">
        <v>504</v>
      </c>
      <c r="F393" s="525">
        <v>10</v>
      </c>
      <c r="G393" s="263"/>
      <c r="H393" s="527">
        <v>395.9</v>
      </c>
      <c r="I393" s="265"/>
      <c r="J393" s="276">
        <f t="shared" si="11"/>
        <v>3959</v>
      </c>
      <c r="K393" s="528"/>
      <c r="L393" s="506"/>
      <c r="M393" s="505"/>
      <c r="N393" s="505"/>
      <c r="O393" s="507"/>
      <c r="P393" s="505"/>
    </row>
    <row r="394" spans="2:16" s="326" customFormat="1">
      <c r="B394" s="497">
        <f t="shared" si="12"/>
        <v>97</v>
      </c>
      <c r="C394" s="245" t="s">
        <v>608</v>
      </c>
      <c r="D394" s="245" t="s">
        <v>608</v>
      </c>
      <c r="E394" s="525" t="s">
        <v>504</v>
      </c>
      <c r="F394" s="525">
        <v>10</v>
      </c>
      <c r="G394" s="263"/>
      <c r="H394" s="527">
        <v>267.5</v>
      </c>
      <c r="I394" s="265"/>
      <c r="J394" s="276">
        <f t="shared" si="11"/>
        <v>2675</v>
      </c>
      <c r="K394" s="528"/>
      <c r="L394" s="506"/>
      <c r="M394" s="505"/>
      <c r="N394" s="505"/>
      <c r="O394" s="507"/>
      <c r="P394" s="505"/>
    </row>
    <row r="395" spans="2:16" s="326" customFormat="1">
      <c r="B395" s="497">
        <f t="shared" si="12"/>
        <v>98</v>
      </c>
      <c r="C395" s="245" t="s">
        <v>609</v>
      </c>
      <c r="D395" s="245" t="s">
        <v>609</v>
      </c>
      <c r="E395" s="525" t="s">
        <v>1864</v>
      </c>
      <c r="F395" s="525">
        <v>200</v>
      </c>
      <c r="G395" s="263"/>
      <c r="H395" s="527">
        <v>17.12</v>
      </c>
      <c r="I395" s="265"/>
      <c r="J395" s="276">
        <f t="shared" si="11"/>
        <v>3424</v>
      </c>
      <c r="K395" s="528"/>
      <c r="L395" s="506"/>
      <c r="M395" s="505"/>
      <c r="N395" s="505"/>
      <c r="O395" s="507"/>
      <c r="P395" s="505"/>
    </row>
    <row r="396" spans="2:16" s="326" customFormat="1">
      <c r="B396" s="497">
        <f t="shared" si="12"/>
        <v>99</v>
      </c>
      <c r="C396" s="245" t="s">
        <v>610</v>
      </c>
      <c r="D396" s="245" t="s">
        <v>610</v>
      </c>
      <c r="E396" s="525" t="s">
        <v>1864</v>
      </c>
      <c r="F396" s="525">
        <v>200</v>
      </c>
      <c r="G396" s="263"/>
      <c r="H396" s="527">
        <v>24.61</v>
      </c>
      <c r="I396" s="265"/>
      <c r="J396" s="276">
        <f t="shared" si="11"/>
        <v>4922</v>
      </c>
      <c r="K396" s="528"/>
      <c r="L396" s="506"/>
      <c r="M396" s="505"/>
      <c r="N396" s="505"/>
      <c r="O396" s="507"/>
      <c r="P396" s="505"/>
    </row>
    <row r="397" spans="2:16" s="326" customFormat="1">
      <c r="B397" s="497">
        <f t="shared" si="12"/>
        <v>100</v>
      </c>
      <c r="C397" s="245" t="s">
        <v>611</v>
      </c>
      <c r="D397" s="245" t="s">
        <v>611</v>
      </c>
      <c r="E397" s="525" t="s">
        <v>1864</v>
      </c>
      <c r="F397" s="525">
        <v>200</v>
      </c>
      <c r="G397" s="263"/>
      <c r="H397" s="527">
        <v>33.17</v>
      </c>
      <c r="I397" s="265"/>
      <c r="J397" s="276">
        <f t="shared" si="11"/>
        <v>6634</v>
      </c>
      <c r="K397" s="528"/>
      <c r="L397" s="506"/>
      <c r="M397" s="505"/>
      <c r="N397" s="505"/>
      <c r="O397" s="507"/>
      <c r="P397" s="505"/>
    </row>
    <row r="398" spans="2:16" s="326" customFormat="1">
      <c r="B398" s="497">
        <f t="shared" si="12"/>
        <v>101</v>
      </c>
      <c r="C398" s="245" t="s">
        <v>612</v>
      </c>
      <c r="D398" s="245" t="s">
        <v>612</v>
      </c>
      <c r="E398" s="525" t="s">
        <v>1864</v>
      </c>
      <c r="F398" s="525">
        <v>10</v>
      </c>
      <c r="G398" s="263"/>
      <c r="H398" s="527">
        <v>277.13</v>
      </c>
      <c r="I398" s="265"/>
      <c r="J398" s="276">
        <f t="shared" si="11"/>
        <v>2771.3</v>
      </c>
      <c r="K398" s="528"/>
      <c r="L398" s="506"/>
      <c r="M398" s="505"/>
      <c r="N398" s="505"/>
      <c r="O398" s="507"/>
      <c r="P398" s="505"/>
    </row>
    <row r="399" spans="2:16" s="326" customFormat="1">
      <c r="B399" s="497">
        <f t="shared" si="12"/>
        <v>102</v>
      </c>
      <c r="C399" s="245" t="s">
        <v>613</v>
      </c>
      <c r="D399" s="245" t="s">
        <v>613</v>
      </c>
      <c r="E399" s="525" t="s">
        <v>1864</v>
      </c>
      <c r="F399" s="525">
        <v>10</v>
      </c>
      <c r="G399" s="263"/>
      <c r="H399" s="527">
        <v>293.18</v>
      </c>
      <c r="I399" s="265"/>
      <c r="J399" s="276">
        <f t="shared" si="11"/>
        <v>2931.8</v>
      </c>
      <c r="K399" s="528"/>
      <c r="L399" s="506"/>
      <c r="M399" s="505"/>
      <c r="N399" s="505"/>
      <c r="O399" s="507"/>
      <c r="P399" s="505"/>
    </row>
    <row r="400" spans="2:16" s="326" customFormat="1">
      <c r="B400" s="497">
        <f t="shared" si="12"/>
        <v>103</v>
      </c>
      <c r="C400" s="245" t="s">
        <v>615</v>
      </c>
      <c r="D400" s="245" t="s">
        <v>615</v>
      </c>
      <c r="E400" s="525" t="s">
        <v>1864</v>
      </c>
      <c r="F400" s="525">
        <v>10</v>
      </c>
      <c r="G400" s="263"/>
      <c r="H400" s="527">
        <v>192.6</v>
      </c>
      <c r="I400" s="265"/>
      <c r="J400" s="276">
        <f t="shared" si="11"/>
        <v>1926</v>
      </c>
      <c r="K400" s="528"/>
      <c r="L400" s="506"/>
      <c r="M400" s="505"/>
      <c r="N400" s="505"/>
      <c r="O400" s="507"/>
      <c r="P400" s="505"/>
    </row>
    <row r="401" spans="2:16" s="326" customFormat="1">
      <c r="B401" s="497">
        <f t="shared" si="12"/>
        <v>104</v>
      </c>
      <c r="C401" s="245" t="s">
        <v>616</v>
      </c>
      <c r="D401" s="245" t="s">
        <v>616</v>
      </c>
      <c r="E401" s="525" t="s">
        <v>1864</v>
      </c>
      <c r="F401" s="525">
        <v>30</v>
      </c>
      <c r="G401" s="263"/>
      <c r="H401" s="527">
        <v>5.35</v>
      </c>
      <c r="I401" s="265"/>
      <c r="J401" s="276">
        <f t="shared" si="11"/>
        <v>160.5</v>
      </c>
      <c r="K401" s="528"/>
      <c r="L401" s="506"/>
      <c r="M401" s="505"/>
      <c r="N401" s="505"/>
      <c r="O401" s="507"/>
      <c r="P401" s="505"/>
    </row>
    <row r="402" spans="2:16" s="326" customFormat="1">
      <c r="B402" s="497">
        <f t="shared" si="12"/>
        <v>105</v>
      </c>
      <c r="C402" s="245" t="s">
        <v>49</v>
      </c>
      <c r="D402" s="245" t="s">
        <v>49</v>
      </c>
      <c r="E402" s="525" t="s">
        <v>1864</v>
      </c>
      <c r="F402" s="525">
        <v>50</v>
      </c>
      <c r="G402" s="263"/>
      <c r="H402" s="527">
        <v>17.12</v>
      </c>
      <c r="I402" s="265"/>
      <c r="J402" s="276">
        <f t="shared" si="11"/>
        <v>856</v>
      </c>
      <c r="K402" s="528"/>
      <c r="L402" s="506"/>
      <c r="M402" s="505"/>
      <c r="N402" s="505"/>
      <c r="O402" s="507"/>
      <c r="P402" s="505"/>
    </row>
    <row r="403" spans="2:16" s="326" customFormat="1">
      <c r="B403" s="497">
        <f t="shared" si="12"/>
        <v>106</v>
      </c>
      <c r="C403" s="245" t="s">
        <v>50</v>
      </c>
      <c r="D403" s="245" t="s">
        <v>50</v>
      </c>
      <c r="E403" s="525" t="s">
        <v>504</v>
      </c>
      <c r="F403" s="525">
        <v>5</v>
      </c>
      <c r="G403" s="263"/>
      <c r="H403" s="527">
        <v>62.06</v>
      </c>
      <c r="I403" s="265"/>
      <c r="J403" s="276">
        <f t="shared" si="11"/>
        <v>310.3</v>
      </c>
      <c r="K403" s="528"/>
      <c r="L403" s="506"/>
      <c r="M403" s="505"/>
      <c r="N403" s="505"/>
      <c r="O403" s="507"/>
      <c r="P403" s="505"/>
    </row>
    <row r="404" spans="2:16" s="326" customFormat="1" ht="26.25">
      <c r="B404" s="497">
        <f t="shared" si="12"/>
        <v>107</v>
      </c>
      <c r="C404" s="245" t="s">
        <v>617</v>
      </c>
      <c r="D404" s="245" t="s">
        <v>617</v>
      </c>
      <c r="E404" s="525" t="s">
        <v>504</v>
      </c>
      <c r="F404" s="525">
        <v>1</v>
      </c>
      <c r="G404" s="263"/>
      <c r="H404" s="527">
        <v>185.11</v>
      </c>
      <c r="I404" s="265"/>
      <c r="J404" s="276">
        <f t="shared" si="11"/>
        <v>185.11</v>
      </c>
      <c r="K404" s="528"/>
      <c r="L404" s="506"/>
      <c r="M404" s="505"/>
      <c r="N404" s="505"/>
      <c r="O404" s="507"/>
      <c r="P404" s="505"/>
    </row>
    <row r="405" spans="2:16" s="326" customFormat="1">
      <c r="B405" s="497">
        <f t="shared" si="12"/>
        <v>108</v>
      </c>
      <c r="C405" s="245" t="s">
        <v>618</v>
      </c>
      <c r="D405" s="245" t="s">
        <v>618</v>
      </c>
      <c r="E405" s="525" t="s">
        <v>1864</v>
      </c>
      <c r="F405" s="525">
        <v>20</v>
      </c>
      <c r="G405" s="263"/>
      <c r="H405" s="527">
        <v>20.62</v>
      </c>
      <c r="I405" s="265"/>
      <c r="J405" s="276">
        <f t="shared" si="11"/>
        <v>412.40000000000003</v>
      </c>
      <c r="K405" s="528"/>
      <c r="L405" s="506"/>
      <c r="M405" s="505"/>
      <c r="N405" s="505"/>
      <c r="O405" s="507"/>
      <c r="P405" s="505"/>
    </row>
    <row r="406" spans="2:16" s="326" customFormat="1">
      <c r="B406" s="497">
        <f t="shared" si="12"/>
        <v>109</v>
      </c>
      <c r="C406" s="245" t="s">
        <v>619</v>
      </c>
      <c r="D406" s="245" t="s">
        <v>619</v>
      </c>
      <c r="E406" s="525" t="s">
        <v>1864</v>
      </c>
      <c r="F406" s="525">
        <v>40</v>
      </c>
      <c r="G406" s="263"/>
      <c r="H406" s="527">
        <v>31</v>
      </c>
      <c r="I406" s="265"/>
      <c r="J406" s="276">
        <f t="shared" si="11"/>
        <v>1240</v>
      </c>
      <c r="K406" s="528"/>
      <c r="L406" s="506"/>
      <c r="M406" s="505"/>
      <c r="N406" s="505"/>
      <c r="O406" s="507"/>
      <c r="P406" s="505"/>
    </row>
    <row r="407" spans="2:16" s="326" customFormat="1">
      <c r="B407" s="497">
        <f t="shared" si="12"/>
        <v>110</v>
      </c>
      <c r="C407" s="245" t="s">
        <v>620</v>
      </c>
      <c r="D407" s="245" t="s">
        <v>620</v>
      </c>
      <c r="E407" s="525" t="s">
        <v>1864</v>
      </c>
      <c r="F407" s="525">
        <v>20</v>
      </c>
      <c r="G407" s="263"/>
      <c r="H407" s="527">
        <v>33</v>
      </c>
      <c r="I407" s="265"/>
      <c r="J407" s="276">
        <f t="shared" si="11"/>
        <v>660</v>
      </c>
      <c r="K407" s="528"/>
      <c r="L407" s="506"/>
      <c r="M407" s="505"/>
      <c r="N407" s="505"/>
      <c r="O407" s="507"/>
      <c r="P407" s="505"/>
    </row>
    <row r="408" spans="2:16" s="326" customFormat="1">
      <c r="B408" s="497">
        <f t="shared" si="12"/>
        <v>111</v>
      </c>
      <c r="C408" s="245" t="s">
        <v>621</v>
      </c>
      <c r="D408" s="245" t="s">
        <v>621</v>
      </c>
      <c r="E408" s="525" t="s">
        <v>1864</v>
      </c>
      <c r="F408" s="525">
        <v>50</v>
      </c>
      <c r="G408" s="263"/>
      <c r="H408" s="527">
        <v>33</v>
      </c>
      <c r="I408" s="265"/>
      <c r="J408" s="276">
        <f t="shared" si="11"/>
        <v>1650</v>
      </c>
      <c r="K408" s="528"/>
      <c r="L408" s="506"/>
      <c r="M408" s="505"/>
      <c r="N408" s="505"/>
      <c r="O408" s="507"/>
      <c r="P408" s="505"/>
    </row>
    <row r="409" spans="2:16" s="326" customFormat="1">
      <c r="B409" s="497">
        <f t="shared" si="12"/>
        <v>112</v>
      </c>
      <c r="C409" s="245" t="s">
        <v>622</v>
      </c>
      <c r="D409" s="245" t="s">
        <v>622</v>
      </c>
      <c r="E409" s="525" t="s">
        <v>1864</v>
      </c>
      <c r="F409" s="525">
        <v>50</v>
      </c>
      <c r="G409" s="263"/>
      <c r="H409" s="527">
        <v>33</v>
      </c>
      <c r="I409" s="265"/>
      <c r="J409" s="276">
        <f t="shared" si="11"/>
        <v>1650</v>
      </c>
      <c r="K409" s="528"/>
      <c r="L409" s="506"/>
      <c r="M409" s="505"/>
      <c r="N409" s="505"/>
      <c r="O409" s="507"/>
      <c r="P409" s="505"/>
    </row>
    <row r="410" spans="2:16" s="326" customFormat="1">
      <c r="B410" s="497">
        <f t="shared" si="12"/>
        <v>113</v>
      </c>
      <c r="C410" s="245" t="s">
        <v>623</v>
      </c>
      <c r="D410" s="245" t="s">
        <v>623</v>
      </c>
      <c r="E410" s="525" t="s">
        <v>1864</v>
      </c>
      <c r="F410" s="525">
        <v>50</v>
      </c>
      <c r="G410" s="263"/>
      <c r="H410" s="527">
        <v>33</v>
      </c>
      <c r="I410" s="265"/>
      <c r="J410" s="276">
        <f t="shared" si="11"/>
        <v>1650</v>
      </c>
      <c r="K410" s="528"/>
      <c r="L410" s="506"/>
      <c r="M410" s="505"/>
      <c r="N410" s="505"/>
      <c r="O410" s="507"/>
      <c r="P410" s="505"/>
    </row>
    <row r="411" spans="2:16" s="326" customFormat="1">
      <c r="B411" s="497">
        <f t="shared" si="12"/>
        <v>114</v>
      </c>
      <c r="C411" s="245" t="s">
        <v>624</v>
      </c>
      <c r="D411" s="245" t="s">
        <v>624</v>
      </c>
      <c r="E411" s="525" t="s">
        <v>1864</v>
      </c>
      <c r="F411" s="525">
        <v>500</v>
      </c>
      <c r="G411" s="263"/>
      <c r="H411" s="527">
        <v>43.87</v>
      </c>
      <c r="I411" s="265"/>
      <c r="J411" s="276">
        <f t="shared" si="11"/>
        <v>21935</v>
      </c>
      <c r="K411" s="528"/>
      <c r="L411" s="506"/>
      <c r="M411" s="505"/>
      <c r="N411" s="505"/>
      <c r="O411" s="507"/>
      <c r="P411" s="505"/>
    </row>
    <row r="412" spans="2:16" s="326" customFormat="1">
      <c r="B412" s="497">
        <f t="shared" si="12"/>
        <v>115</v>
      </c>
      <c r="C412" s="245" t="s">
        <v>625</v>
      </c>
      <c r="D412" s="245" t="s">
        <v>625</v>
      </c>
      <c r="E412" s="525" t="s">
        <v>1864</v>
      </c>
      <c r="F412" s="525">
        <v>300</v>
      </c>
      <c r="G412" s="263"/>
      <c r="H412" s="527">
        <v>67.41</v>
      </c>
      <c r="I412" s="265"/>
      <c r="J412" s="276">
        <f t="shared" si="11"/>
        <v>20223</v>
      </c>
      <c r="K412" s="528"/>
      <c r="L412" s="506"/>
      <c r="M412" s="505"/>
      <c r="N412" s="505"/>
      <c r="O412" s="507"/>
      <c r="P412" s="505"/>
    </row>
    <row r="413" spans="2:16" s="326" customFormat="1">
      <c r="B413" s="497">
        <f t="shared" si="12"/>
        <v>116</v>
      </c>
      <c r="C413" s="245" t="s">
        <v>51</v>
      </c>
      <c r="D413" s="245" t="s">
        <v>51</v>
      </c>
      <c r="E413" s="525" t="s">
        <v>1864</v>
      </c>
      <c r="F413" s="525">
        <v>20</v>
      </c>
      <c r="G413" s="263"/>
      <c r="H413" s="527">
        <v>53.5</v>
      </c>
      <c r="I413" s="265"/>
      <c r="J413" s="276">
        <f t="shared" si="11"/>
        <v>1070</v>
      </c>
      <c r="K413" s="528"/>
      <c r="L413" s="506"/>
      <c r="M413" s="505"/>
      <c r="N413" s="505"/>
      <c r="O413" s="507"/>
      <c r="P413" s="505"/>
    </row>
    <row r="414" spans="2:16" s="326" customFormat="1">
      <c r="B414" s="497">
        <f t="shared" si="12"/>
        <v>117</v>
      </c>
      <c r="C414" s="245" t="s">
        <v>52</v>
      </c>
      <c r="D414" s="245" t="s">
        <v>52</v>
      </c>
      <c r="E414" s="525" t="s">
        <v>1864</v>
      </c>
      <c r="F414" s="525">
        <v>20</v>
      </c>
      <c r="G414" s="263"/>
      <c r="H414" s="527">
        <v>101.65</v>
      </c>
      <c r="I414" s="265"/>
      <c r="J414" s="276">
        <f t="shared" si="11"/>
        <v>2033</v>
      </c>
      <c r="K414" s="528"/>
      <c r="L414" s="506"/>
      <c r="M414" s="505"/>
      <c r="N414" s="505"/>
      <c r="O414" s="507"/>
      <c r="P414" s="505"/>
    </row>
    <row r="415" spans="2:16" s="326" customFormat="1">
      <c r="B415" s="497">
        <f t="shared" si="12"/>
        <v>118</v>
      </c>
      <c r="C415" s="245" t="s">
        <v>626</v>
      </c>
      <c r="D415" s="245" t="s">
        <v>626</v>
      </c>
      <c r="E415" s="525" t="s">
        <v>1864</v>
      </c>
      <c r="F415" s="525">
        <v>2</v>
      </c>
      <c r="G415" s="263"/>
      <c r="H415" s="527">
        <v>379.85</v>
      </c>
      <c r="I415" s="265"/>
      <c r="J415" s="276">
        <f t="shared" si="11"/>
        <v>759.7</v>
      </c>
      <c r="K415" s="528"/>
      <c r="L415" s="506"/>
      <c r="M415" s="505"/>
      <c r="N415" s="505"/>
      <c r="O415" s="507"/>
      <c r="P415" s="505"/>
    </row>
    <row r="416" spans="2:16" s="326" customFormat="1">
      <c r="B416" s="497">
        <f t="shared" si="12"/>
        <v>119</v>
      </c>
      <c r="C416" s="245" t="s">
        <v>53</v>
      </c>
      <c r="D416" s="245" t="s">
        <v>53</v>
      </c>
      <c r="E416" s="525" t="s">
        <v>495</v>
      </c>
      <c r="F416" s="526">
        <v>5</v>
      </c>
      <c r="G416" s="533"/>
      <c r="H416" s="527">
        <v>147.66</v>
      </c>
      <c r="I416" s="265"/>
      <c r="J416" s="276">
        <f t="shared" si="11"/>
        <v>738.3</v>
      </c>
      <c r="K416" s="528"/>
      <c r="L416" s="506"/>
      <c r="M416" s="505"/>
      <c r="N416" s="505"/>
      <c r="O416" s="507"/>
      <c r="P416" s="505"/>
    </row>
    <row r="417" spans="2:16" s="326" customFormat="1">
      <c r="B417" s="497">
        <f t="shared" si="12"/>
        <v>120</v>
      </c>
      <c r="C417" s="245" t="s">
        <v>54</v>
      </c>
      <c r="D417" s="245" t="s">
        <v>54</v>
      </c>
      <c r="E417" s="525" t="s">
        <v>495</v>
      </c>
      <c r="F417" s="526">
        <v>5</v>
      </c>
      <c r="G417" s="533"/>
      <c r="H417" s="527">
        <v>147.66</v>
      </c>
      <c r="I417" s="265"/>
      <c r="J417" s="276">
        <f t="shared" si="11"/>
        <v>738.3</v>
      </c>
      <c r="K417" s="528"/>
      <c r="L417" s="506"/>
      <c r="M417" s="505"/>
      <c r="N417" s="505"/>
      <c r="O417" s="507"/>
      <c r="P417" s="505"/>
    </row>
    <row r="418" spans="2:16" s="326" customFormat="1">
      <c r="B418" s="497">
        <f t="shared" si="12"/>
        <v>121</v>
      </c>
      <c r="C418" s="245" t="s">
        <v>55</v>
      </c>
      <c r="D418" s="245" t="s">
        <v>55</v>
      </c>
      <c r="E418" s="525" t="s">
        <v>495</v>
      </c>
      <c r="F418" s="526">
        <v>20</v>
      </c>
      <c r="G418" s="263"/>
      <c r="H418" s="534">
        <v>1389.93</v>
      </c>
      <c r="I418" s="265"/>
      <c r="J418" s="276">
        <f t="shared" si="11"/>
        <v>27798.600000000002</v>
      </c>
      <c r="K418" s="528"/>
      <c r="L418" s="506"/>
      <c r="M418" s="505"/>
      <c r="N418" s="505"/>
      <c r="O418" s="507"/>
      <c r="P418" s="505"/>
    </row>
    <row r="419" spans="2:16" s="338" customFormat="1">
      <c r="B419" s="497">
        <f t="shared" si="12"/>
        <v>122</v>
      </c>
      <c r="C419" s="245" t="s">
        <v>614</v>
      </c>
      <c r="D419" s="245" t="s">
        <v>614</v>
      </c>
      <c r="E419" s="525" t="s">
        <v>495</v>
      </c>
      <c r="F419" s="526">
        <v>50</v>
      </c>
      <c r="G419" s="263"/>
      <c r="H419" s="244">
        <v>551.04999999999995</v>
      </c>
      <c r="I419" s="265"/>
      <c r="J419" s="276">
        <f t="shared" si="11"/>
        <v>27552.499999999996</v>
      </c>
      <c r="K419" s="528"/>
      <c r="L419" s="506"/>
      <c r="M419" s="505"/>
      <c r="N419" s="505"/>
      <c r="O419" s="507"/>
      <c r="P419" s="505"/>
    </row>
    <row r="420" spans="2:16" s="326" customFormat="1">
      <c r="B420" s="497"/>
      <c r="C420" s="535"/>
      <c r="D420" s="536"/>
      <c r="E420" s="537"/>
      <c r="F420" s="537"/>
      <c r="G420" s="263"/>
      <c r="H420" s="244"/>
      <c r="I420" s="265"/>
      <c r="J420" s="276">
        <f t="shared" si="11"/>
        <v>0</v>
      </c>
      <c r="K420" s="528"/>
      <c r="L420" s="506"/>
      <c r="M420" s="505"/>
      <c r="N420" s="505"/>
      <c r="O420" s="507"/>
      <c r="P420" s="505"/>
    </row>
    <row r="421" spans="2:16" s="326" customFormat="1">
      <c r="B421" s="497"/>
      <c r="C421" s="496"/>
      <c r="D421" s="267"/>
      <c r="E421" s="263"/>
      <c r="F421" s="263"/>
      <c r="G421" s="263"/>
      <c r="H421" s="263"/>
      <c r="I421" s="265"/>
      <c r="J421" s="276">
        <f>SUM(J298:J420)</f>
        <v>998109.29000000015</v>
      </c>
      <c r="K421" s="505"/>
      <c r="L421" s="538"/>
      <c r="M421" s="505"/>
      <c r="N421" s="505"/>
      <c r="O421" s="507"/>
      <c r="P421" s="505"/>
    </row>
    <row r="422" spans="2:16" s="326" customFormat="1">
      <c r="B422" s="474"/>
      <c r="C422" s="464"/>
      <c r="D422" s="514"/>
      <c r="E422" s="474"/>
      <c r="F422" s="474"/>
      <c r="G422" s="474"/>
      <c r="H422" s="474"/>
      <c r="I422" s="480"/>
      <c r="J422" s="481"/>
      <c r="K422" s="505"/>
      <c r="L422" s="506"/>
      <c r="M422" s="505"/>
      <c r="N422" s="505"/>
      <c r="O422" s="507"/>
      <c r="P422" s="505"/>
    </row>
    <row r="423" spans="2:16" s="326" customFormat="1">
      <c r="B423" s="474"/>
      <c r="C423" s="519" t="s">
        <v>1751</v>
      </c>
      <c r="D423" s="515"/>
      <c r="E423" s="960" t="s">
        <v>1739</v>
      </c>
      <c r="F423" s="960"/>
      <c r="G423" s="961"/>
      <c r="H423" s="961"/>
      <c r="I423" s="480"/>
      <c r="J423" s="481"/>
      <c r="K423" s="505"/>
      <c r="L423" s="506"/>
      <c r="M423" s="505"/>
      <c r="N423" s="505"/>
      <c r="O423" s="507"/>
      <c r="P423" s="505"/>
    </row>
    <row r="424" spans="2:16" s="326" customFormat="1">
      <c r="B424" s="474"/>
      <c r="C424" s="464"/>
      <c r="D424" s="528"/>
      <c r="E424" s="474"/>
      <c r="F424" s="474"/>
      <c r="G424" s="474"/>
      <c r="H424" s="474"/>
      <c r="I424" s="480"/>
      <c r="J424" s="481"/>
      <c r="K424" s="505"/>
      <c r="L424" s="506"/>
      <c r="M424" s="505"/>
      <c r="N424" s="505"/>
      <c r="O424" s="507"/>
      <c r="P424" s="505"/>
    </row>
    <row r="425" spans="2:16" s="326" customFormat="1">
      <c r="B425" s="474"/>
      <c r="C425" s="524" t="s">
        <v>1230</v>
      </c>
      <c r="D425" s="539" t="s">
        <v>56</v>
      </c>
      <c r="E425" s="474"/>
      <c r="F425" s="474"/>
      <c r="G425" s="474"/>
      <c r="H425" s="474"/>
      <c r="I425" s="480"/>
      <c r="J425" s="481"/>
      <c r="K425" s="505"/>
      <c r="L425" s="506"/>
      <c r="M425" s="505"/>
      <c r="N425" s="505"/>
      <c r="O425" s="507"/>
      <c r="P425" s="505"/>
    </row>
    <row r="426" spans="2:16" s="326" customFormat="1">
      <c r="B426" s="474"/>
      <c r="C426" s="539"/>
      <c r="D426" s="514"/>
      <c r="E426" s="474"/>
      <c r="F426" s="474"/>
      <c r="G426" s="474"/>
      <c r="H426" s="474"/>
      <c r="I426" s="480"/>
      <c r="J426" s="481"/>
      <c r="K426" s="505"/>
      <c r="L426" s="506"/>
      <c r="M426" s="505"/>
      <c r="N426" s="505"/>
      <c r="O426" s="507"/>
      <c r="P426" s="505"/>
    </row>
    <row r="427" spans="2:16" s="326" customFormat="1" ht="31.5">
      <c r="B427" s="504" t="s">
        <v>1274</v>
      </c>
      <c r="C427" s="105" t="s">
        <v>516</v>
      </c>
      <c r="D427" s="267"/>
      <c r="E427" s="518" t="s">
        <v>1786</v>
      </c>
      <c r="F427" s="469" t="s">
        <v>1861</v>
      </c>
      <c r="G427" s="469" t="s">
        <v>1862</v>
      </c>
      <c r="H427" s="469" t="s">
        <v>82</v>
      </c>
      <c r="I427" s="470" t="s">
        <v>1863</v>
      </c>
      <c r="J427" s="471" t="s">
        <v>540</v>
      </c>
      <c r="K427" s="505"/>
      <c r="L427" s="506"/>
      <c r="M427" s="505"/>
      <c r="N427" s="505"/>
      <c r="O427" s="507"/>
      <c r="P427" s="505"/>
    </row>
    <row r="428" spans="2:16" s="326" customFormat="1">
      <c r="B428" s="497"/>
      <c r="C428" s="496"/>
      <c r="D428" s="540"/>
      <c r="E428" s="243"/>
      <c r="F428" s="263"/>
      <c r="G428" s="263"/>
      <c r="H428" s="527"/>
      <c r="I428" s="265"/>
      <c r="J428" s="276"/>
      <c r="K428" s="528"/>
      <c r="L428" s="541"/>
      <c r="M428" s="505"/>
      <c r="N428" s="505"/>
      <c r="O428" s="462"/>
      <c r="P428" s="528"/>
    </row>
    <row r="429" spans="2:16" s="326" customFormat="1">
      <c r="B429" s="497">
        <v>1</v>
      </c>
      <c r="C429" s="533" t="s">
        <v>57</v>
      </c>
      <c r="D429" s="533" t="s">
        <v>57</v>
      </c>
      <c r="E429" s="243"/>
      <c r="F429" s="522">
        <v>2</v>
      </c>
      <c r="G429" s="265">
        <v>4000</v>
      </c>
      <c r="H429" s="265">
        <v>4000</v>
      </c>
      <c r="I429" s="265"/>
      <c r="J429" s="276">
        <f>F429*H429</f>
        <v>8000</v>
      </c>
      <c r="K429" s="528"/>
      <c r="L429" s="506"/>
      <c r="M429" s="505"/>
      <c r="N429" s="505"/>
      <c r="O429" s="462"/>
      <c r="P429" s="528"/>
    </row>
    <row r="430" spans="2:16" s="326" customFormat="1">
      <c r="B430" s="497">
        <f>1+B429</f>
        <v>2</v>
      </c>
      <c r="C430" s="533" t="s">
        <v>58</v>
      </c>
      <c r="D430" s="533" t="s">
        <v>58</v>
      </c>
      <c r="E430" s="243"/>
      <c r="F430" s="522">
        <v>2</v>
      </c>
      <c r="G430" s="265">
        <v>4000</v>
      </c>
      <c r="H430" s="265">
        <v>4000</v>
      </c>
      <c r="I430" s="265"/>
      <c r="J430" s="276">
        <f>F430*H430</f>
        <v>8000</v>
      </c>
      <c r="K430" s="528"/>
      <c r="L430" s="506"/>
      <c r="M430" s="505"/>
      <c r="N430" s="505"/>
      <c r="O430" s="462"/>
      <c r="P430" s="528"/>
    </row>
    <row r="431" spans="2:16" s="326" customFormat="1">
      <c r="B431" s="497">
        <f>1+B430</f>
        <v>3</v>
      </c>
      <c r="C431" s="533" t="s">
        <v>59</v>
      </c>
      <c r="D431" s="533" t="s">
        <v>59</v>
      </c>
      <c r="E431" s="243"/>
      <c r="F431" s="522">
        <v>1</v>
      </c>
      <c r="G431" s="265">
        <v>1200</v>
      </c>
      <c r="H431" s="265">
        <v>1200</v>
      </c>
      <c r="I431" s="265"/>
      <c r="J431" s="276">
        <f>F431*H431</f>
        <v>1200</v>
      </c>
      <c r="K431" s="528"/>
      <c r="L431" s="506"/>
      <c r="M431" s="505"/>
      <c r="N431" s="505"/>
      <c r="O431" s="462"/>
      <c r="P431" s="528"/>
    </row>
    <row r="432" spans="2:16" s="326" customFormat="1">
      <c r="B432" s="497">
        <f>1+B431</f>
        <v>4</v>
      </c>
      <c r="C432" s="533" t="s">
        <v>60</v>
      </c>
      <c r="D432" s="533" t="s">
        <v>60</v>
      </c>
      <c r="E432" s="243"/>
      <c r="F432" s="522">
        <v>20</v>
      </c>
      <c r="G432" s="265">
        <v>250</v>
      </c>
      <c r="H432" s="265">
        <v>250</v>
      </c>
      <c r="I432" s="265"/>
      <c r="J432" s="276">
        <f>F432*H432</f>
        <v>5000</v>
      </c>
      <c r="K432" s="528"/>
      <c r="L432" s="506"/>
      <c r="M432" s="505"/>
      <c r="N432" s="505"/>
      <c r="O432" s="462"/>
      <c r="P432" s="528"/>
    </row>
    <row r="433" spans="2:16" s="326" customFormat="1">
      <c r="B433" s="497"/>
      <c r="C433" s="496"/>
      <c r="D433" s="267"/>
      <c r="E433" s="263"/>
      <c r="F433" s="263"/>
      <c r="G433" s="263"/>
      <c r="H433" s="263"/>
      <c r="I433" s="265"/>
      <c r="J433" s="276">
        <f>SUM(J428:J432)</f>
        <v>22200</v>
      </c>
      <c r="K433" s="505"/>
      <c r="L433" s="538"/>
      <c r="M433" s="505"/>
      <c r="N433" s="505"/>
      <c r="O433" s="507"/>
      <c r="P433" s="505"/>
    </row>
    <row r="434" spans="2:16" s="326" customFormat="1">
      <c r="B434" s="474"/>
      <c r="C434" s="464"/>
      <c r="D434" s="514"/>
      <c r="E434" s="474"/>
      <c r="F434" s="474"/>
      <c r="G434" s="474"/>
      <c r="H434" s="474"/>
      <c r="I434" s="480"/>
      <c r="J434" s="481"/>
      <c r="K434" s="505"/>
      <c r="L434" s="506"/>
      <c r="M434" s="505"/>
      <c r="N434" s="505"/>
      <c r="O434" s="507"/>
      <c r="P434" s="505"/>
    </row>
    <row r="435" spans="2:16" s="326" customFormat="1">
      <c r="B435" s="474"/>
      <c r="C435" s="519" t="s">
        <v>1751</v>
      </c>
      <c r="D435" s="515"/>
      <c r="E435" s="960" t="s">
        <v>1739</v>
      </c>
      <c r="F435" s="960"/>
      <c r="G435" s="961"/>
      <c r="H435" s="961"/>
      <c r="I435" s="480"/>
      <c r="J435" s="481"/>
      <c r="K435" s="505"/>
      <c r="L435" s="506"/>
      <c r="M435" s="505"/>
      <c r="N435" s="505"/>
      <c r="O435" s="507"/>
      <c r="P435" s="505"/>
    </row>
    <row r="436" spans="2:16" s="326" customFormat="1">
      <c r="B436" s="474"/>
      <c r="C436" s="519"/>
      <c r="D436" s="515"/>
      <c r="E436" s="611"/>
      <c r="F436" s="611"/>
      <c r="G436" s="611"/>
      <c r="H436" s="611"/>
      <c r="I436" s="480"/>
      <c r="J436" s="481"/>
      <c r="K436" s="505"/>
      <c r="L436" s="506"/>
      <c r="M436" s="505"/>
      <c r="N436" s="505"/>
      <c r="O436" s="507"/>
      <c r="P436" s="505"/>
    </row>
    <row r="437" spans="2:16" s="326" customFormat="1" ht="26.25">
      <c r="B437" s="474"/>
      <c r="C437" s="542" t="s">
        <v>61</v>
      </c>
      <c r="D437" s="542" t="s">
        <v>61</v>
      </c>
      <c r="E437" s="474"/>
      <c r="F437" s="474"/>
      <c r="G437" s="474"/>
      <c r="H437" s="474"/>
      <c r="I437" s="480"/>
      <c r="J437" s="481"/>
      <c r="K437" s="505"/>
      <c r="L437" s="506"/>
      <c r="M437" s="505"/>
      <c r="N437" s="505"/>
      <c r="O437" s="507"/>
      <c r="P437" s="505"/>
    </row>
    <row r="438" spans="2:16" s="326" customFormat="1">
      <c r="B438" s="474"/>
      <c r="C438" s="464"/>
      <c r="D438" s="514"/>
      <c r="E438" s="474"/>
      <c r="F438" s="474"/>
      <c r="G438" s="474"/>
      <c r="H438" s="474"/>
      <c r="I438" s="480"/>
      <c r="J438" s="481"/>
      <c r="K438" s="505"/>
      <c r="L438" s="506"/>
      <c r="M438" s="505"/>
      <c r="N438" s="505"/>
      <c r="O438" s="507"/>
      <c r="P438" s="505"/>
    </row>
    <row r="439" spans="2:16" s="326" customFormat="1" ht="31.5">
      <c r="B439" s="504" t="s">
        <v>1274</v>
      </c>
      <c r="C439" s="105" t="s">
        <v>516</v>
      </c>
      <c r="D439" s="267"/>
      <c r="E439" s="518" t="s">
        <v>1786</v>
      </c>
      <c r="F439" s="469" t="s">
        <v>1861</v>
      </c>
      <c r="G439" s="469" t="s">
        <v>1862</v>
      </c>
      <c r="H439" s="469" t="s">
        <v>82</v>
      </c>
      <c r="I439" s="470" t="s">
        <v>1863</v>
      </c>
      <c r="J439" s="471" t="s">
        <v>540</v>
      </c>
      <c r="K439" s="505"/>
      <c r="L439" s="506"/>
      <c r="M439" s="505"/>
      <c r="N439" s="505"/>
      <c r="O439" s="507"/>
      <c r="P439" s="505"/>
    </row>
    <row r="440" spans="2:16" s="326" customFormat="1" ht="15.75" customHeight="1">
      <c r="B440" s="497"/>
      <c r="C440" s="496"/>
      <c r="D440" s="540"/>
      <c r="E440" s="243"/>
      <c r="F440" s="263"/>
      <c r="G440" s="263"/>
      <c r="H440" s="543"/>
      <c r="I440" s="265"/>
      <c r="J440" s="276"/>
      <c r="K440" s="528"/>
      <c r="L440" s="506"/>
      <c r="M440" s="505"/>
      <c r="N440" s="505"/>
      <c r="O440" s="462"/>
      <c r="P440" s="528"/>
    </row>
    <row r="441" spans="2:16" s="326" customFormat="1">
      <c r="B441" s="497">
        <v>1</v>
      </c>
      <c r="C441" s="544" t="s">
        <v>62</v>
      </c>
      <c r="D441" s="544" t="s">
        <v>62</v>
      </c>
      <c r="E441" s="545" t="s">
        <v>495</v>
      </c>
      <c r="F441" s="546">
        <v>25</v>
      </c>
      <c r="G441" s="263"/>
      <c r="H441" s="265">
        <f>11290.11/25</f>
        <v>451.6044</v>
      </c>
      <c r="I441" s="265"/>
      <c r="J441" s="276">
        <f>F441*H441</f>
        <v>11290.11</v>
      </c>
      <c r="K441" s="528"/>
      <c r="L441" s="506"/>
      <c r="M441" s="505"/>
      <c r="N441" s="505"/>
      <c r="O441" s="462"/>
      <c r="P441" s="528"/>
    </row>
    <row r="442" spans="2:16">
      <c r="B442" s="497">
        <f>1+B441</f>
        <v>2</v>
      </c>
      <c r="C442" s="544" t="s">
        <v>63</v>
      </c>
      <c r="D442" s="544" t="s">
        <v>63</v>
      </c>
      <c r="E442" s="545" t="s">
        <v>495</v>
      </c>
      <c r="F442" s="546">
        <v>25</v>
      </c>
      <c r="G442" s="263"/>
      <c r="H442" s="265">
        <f>11290.11/25</f>
        <v>451.6044</v>
      </c>
      <c r="I442" s="265"/>
      <c r="J442" s="276">
        <f>F442*H442</f>
        <v>11290.11</v>
      </c>
      <c r="K442" s="528"/>
      <c r="L442" s="506"/>
      <c r="M442" s="505"/>
      <c r="N442" s="505"/>
      <c r="O442" s="462"/>
      <c r="P442" s="528"/>
    </row>
    <row r="443" spans="2:16">
      <c r="B443" s="497">
        <f>1+B442</f>
        <v>3</v>
      </c>
      <c r="C443" s="544" t="s">
        <v>64</v>
      </c>
      <c r="D443" s="544" t="s">
        <v>64</v>
      </c>
      <c r="E443" s="545" t="s">
        <v>495</v>
      </c>
      <c r="F443" s="546">
        <v>25</v>
      </c>
      <c r="G443" s="263"/>
      <c r="H443" s="265">
        <f>11290.1/25</f>
        <v>451.60400000000004</v>
      </c>
      <c r="I443" s="265"/>
      <c r="J443" s="276">
        <f>F443*H443</f>
        <v>11290.1</v>
      </c>
      <c r="K443" s="528"/>
      <c r="L443" s="506"/>
      <c r="M443" s="505"/>
      <c r="N443" s="505"/>
      <c r="O443" s="462"/>
      <c r="P443" s="528"/>
    </row>
    <row r="444" spans="2:16">
      <c r="B444" s="497"/>
      <c r="C444" s="496"/>
      <c r="D444" s="267"/>
      <c r="E444" s="263"/>
      <c r="F444" s="263"/>
      <c r="G444" s="263"/>
      <c r="H444" s="263"/>
      <c r="I444" s="265"/>
      <c r="J444" s="276">
        <f>SUM(J440:J443)</f>
        <v>33870.32</v>
      </c>
      <c r="K444" s="505"/>
      <c r="L444" s="538"/>
      <c r="M444" s="505"/>
      <c r="N444" s="505"/>
      <c r="O444" s="507"/>
      <c r="P444" s="505"/>
    </row>
    <row r="445" spans="2:16">
      <c r="B445" s="474"/>
      <c r="C445" s="464"/>
      <c r="D445" s="514"/>
      <c r="E445" s="474"/>
      <c r="F445" s="474"/>
      <c r="G445" s="474"/>
      <c r="H445" s="474"/>
      <c r="I445" s="480"/>
      <c r="J445" s="481"/>
      <c r="K445" s="505"/>
      <c r="L445" s="506"/>
      <c r="M445" s="505"/>
      <c r="N445" s="505"/>
      <c r="O445" s="507"/>
      <c r="P445" s="505"/>
    </row>
    <row r="446" spans="2:16">
      <c r="B446" s="474"/>
      <c r="C446" s="519" t="s">
        <v>1751</v>
      </c>
      <c r="D446" s="515"/>
      <c r="E446" s="960" t="s">
        <v>1739</v>
      </c>
      <c r="F446" s="960"/>
      <c r="G446" s="961"/>
      <c r="H446" s="961"/>
      <c r="I446" s="480"/>
      <c r="J446" s="481"/>
      <c r="K446" s="505"/>
      <c r="L446" s="506"/>
      <c r="M446" s="505"/>
      <c r="N446" s="505"/>
      <c r="O446" s="507"/>
      <c r="P446" s="505"/>
    </row>
    <row r="447" spans="2:16">
      <c r="B447" s="474"/>
      <c r="C447" s="519"/>
      <c r="D447" s="515"/>
      <c r="E447" s="611"/>
      <c r="F447" s="611"/>
      <c r="G447" s="611"/>
      <c r="H447" s="611"/>
      <c r="I447" s="480"/>
      <c r="J447" s="481"/>
      <c r="K447" s="505"/>
      <c r="L447" s="506"/>
      <c r="M447" s="505"/>
      <c r="N447" s="505"/>
      <c r="O447" s="507"/>
      <c r="P447" s="505"/>
    </row>
    <row r="448" spans="2:16">
      <c r="B448" s="474"/>
      <c r="C448" s="519"/>
      <c r="D448" s="515"/>
      <c r="E448" s="611"/>
      <c r="F448" s="611"/>
      <c r="G448" s="611"/>
      <c r="H448" s="611"/>
      <c r="I448" s="480"/>
      <c r="J448" s="481"/>
      <c r="K448" s="505"/>
      <c r="L448" s="506"/>
      <c r="M448" s="505"/>
      <c r="N448" s="505"/>
      <c r="O448" s="507"/>
      <c r="P448" s="505"/>
    </row>
    <row r="449" spans="2:16">
      <c r="B449" s="547"/>
      <c r="C449" s="464" t="s">
        <v>399</v>
      </c>
      <c r="D449" s="548" t="s">
        <v>65</v>
      </c>
      <c r="E449" s="58"/>
      <c r="F449" s="459"/>
      <c r="G449" s="459"/>
      <c r="H449" s="459"/>
      <c r="I449" s="459"/>
      <c r="J449" s="462"/>
      <c r="K449" s="235"/>
      <c r="L449" s="235"/>
      <c r="M449" s="235"/>
      <c r="N449" s="235"/>
      <c r="O449" s="463"/>
      <c r="P449" s="235"/>
    </row>
    <row r="450" spans="2:16">
      <c r="B450" s="549"/>
      <c r="C450" s="550" t="s">
        <v>665</v>
      </c>
      <c r="D450" s="501" t="s">
        <v>664</v>
      </c>
      <c r="E450" s="58"/>
      <c r="F450" s="459"/>
      <c r="G450" s="459"/>
      <c r="H450" s="459"/>
      <c r="I450" s="459"/>
      <c r="J450" s="462"/>
      <c r="K450" s="235"/>
      <c r="L450" s="235"/>
      <c r="M450" s="235"/>
      <c r="N450" s="235"/>
      <c r="O450" s="463"/>
      <c r="P450" s="235"/>
    </row>
    <row r="451" spans="2:16">
      <c r="B451" s="549"/>
      <c r="C451" s="550" t="s">
        <v>667</v>
      </c>
      <c r="D451" s="501" t="s">
        <v>666</v>
      </c>
      <c r="E451" s="58"/>
      <c r="F451" s="459"/>
      <c r="G451" s="459"/>
      <c r="H451" s="459"/>
      <c r="I451" s="459"/>
      <c r="J451" s="462"/>
      <c r="K451" s="235"/>
      <c r="L451" s="235"/>
      <c r="M451" s="235"/>
      <c r="N451" s="235"/>
      <c r="O451" s="463"/>
      <c r="P451" s="235"/>
    </row>
    <row r="452" spans="2:16">
      <c r="B452" s="274"/>
      <c r="C452" s="460"/>
      <c r="D452" s="461"/>
      <c r="E452" s="459"/>
      <c r="F452" s="459"/>
      <c r="G452" s="459"/>
      <c r="H452" s="459"/>
      <c r="I452" s="459"/>
      <c r="J452" s="462"/>
      <c r="K452" s="235"/>
      <c r="L452" s="235"/>
      <c r="M452" s="235"/>
      <c r="N452" s="235"/>
      <c r="O452" s="463"/>
      <c r="P452" s="235"/>
    </row>
    <row r="453" spans="2:16" s="326" customFormat="1" ht="31.5">
      <c r="B453" s="518" t="s">
        <v>1783</v>
      </c>
      <c r="C453" s="269" t="s">
        <v>668</v>
      </c>
      <c r="D453" s="330"/>
      <c r="E453" s="518" t="s">
        <v>1786</v>
      </c>
      <c r="F453" s="518" t="s">
        <v>669</v>
      </c>
      <c r="G453" s="263"/>
      <c r="H453" s="469" t="s">
        <v>82</v>
      </c>
      <c r="I453" s="263"/>
      <c r="J453" s="518" t="s">
        <v>670</v>
      </c>
      <c r="K453" s="235"/>
      <c r="L453" s="235"/>
      <c r="M453" s="235"/>
      <c r="N453" s="235"/>
      <c r="O453" s="463"/>
      <c r="P453" s="235"/>
    </row>
    <row r="454" spans="2:16">
      <c r="B454" s="518">
        <v>1</v>
      </c>
      <c r="C454" s="533" t="s">
        <v>66</v>
      </c>
      <c r="D454" s="533" t="s">
        <v>66</v>
      </c>
      <c r="E454" s="518" t="s">
        <v>504</v>
      </c>
      <c r="F454" s="551">
        <f>12-12</f>
        <v>0</v>
      </c>
      <c r="G454" s="263"/>
      <c r="H454" s="331">
        <v>1100</v>
      </c>
      <c r="I454" s="263"/>
      <c r="J454" s="331">
        <f>F454*H454</f>
        <v>0</v>
      </c>
      <c r="K454" s="235"/>
      <c r="L454" s="235"/>
      <c r="M454" s="235"/>
      <c r="N454" s="235"/>
      <c r="O454" s="463"/>
      <c r="P454" s="235"/>
    </row>
    <row r="455" spans="2:16">
      <c r="B455" s="518">
        <f>1+B454</f>
        <v>2</v>
      </c>
      <c r="C455" s="533" t="s">
        <v>671</v>
      </c>
      <c r="D455" s="533" t="s">
        <v>671</v>
      </c>
      <c r="E455" s="518" t="s">
        <v>504</v>
      </c>
      <c r="F455" s="551">
        <v>6</v>
      </c>
      <c r="G455" s="263"/>
      <c r="H455" s="331">
        <v>3194</v>
      </c>
      <c r="I455" s="263"/>
      <c r="J455" s="331">
        <f>F455*H455</f>
        <v>19164</v>
      </c>
      <c r="K455" s="235"/>
      <c r="L455" s="235"/>
      <c r="M455" s="235"/>
      <c r="N455" s="235"/>
      <c r="O455" s="463"/>
      <c r="P455" s="235"/>
    </row>
    <row r="456" spans="2:16">
      <c r="B456" s="518">
        <f>1+B455</f>
        <v>3</v>
      </c>
      <c r="C456" s="533" t="s">
        <v>67</v>
      </c>
      <c r="D456" s="533" t="s">
        <v>67</v>
      </c>
      <c r="E456" s="518" t="s">
        <v>672</v>
      </c>
      <c r="F456" s="551">
        <f>6-1</f>
        <v>5</v>
      </c>
      <c r="G456" s="263"/>
      <c r="H456" s="331">
        <v>3400</v>
      </c>
      <c r="I456" s="263"/>
      <c r="J456" s="331">
        <f>F456*H456</f>
        <v>17000</v>
      </c>
      <c r="K456" s="235"/>
      <c r="L456" s="235"/>
      <c r="M456" s="235"/>
      <c r="N456" s="235"/>
      <c r="O456" s="463"/>
      <c r="P456" s="235"/>
    </row>
    <row r="457" spans="2:16">
      <c r="B457" s="518">
        <f>1+B456</f>
        <v>4</v>
      </c>
      <c r="C457" s="533" t="s">
        <v>68</v>
      </c>
      <c r="D457" s="533" t="s">
        <v>68</v>
      </c>
      <c r="E457" s="518" t="s">
        <v>672</v>
      </c>
      <c r="F457" s="551">
        <f>6-1</f>
        <v>5</v>
      </c>
      <c r="G457" s="263"/>
      <c r="H457" s="331">
        <v>8500</v>
      </c>
      <c r="I457" s="263"/>
      <c r="J457" s="331">
        <f>F457*H457</f>
        <v>42500</v>
      </c>
      <c r="K457" s="235"/>
      <c r="L457" s="235"/>
      <c r="M457" s="235"/>
      <c r="N457" s="235"/>
      <c r="O457" s="463"/>
      <c r="P457" s="235"/>
    </row>
    <row r="458" spans="2:16">
      <c r="B458" s="518"/>
      <c r="C458" s="269"/>
      <c r="D458" s="330"/>
      <c r="E458" s="263"/>
      <c r="F458" s="331"/>
      <c r="G458" s="263"/>
      <c r="H458" s="331"/>
      <c r="I458" s="263"/>
      <c r="J458" s="552">
        <f>SUM(J454:J457)</f>
        <v>78664</v>
      </c>
      <c r="K458" s="235"/>
      <c r="L458" s="235"/>
      <c r="M458" s="235"/>
      <c r="N458" s="235"/>
      <c r="O458" s="463"/>
      <c r="P458" s="235"/>
    </row>
    <row r="459" spans="2:16">
      <c r="B459" s="274"/>
      <c r="C459" s="460"/>
      <c r="D459" s="461"/>
      <c r="E459" s="459"/>
      <c r="F459" s="459"/>
      <c r="G459" s="459"/>
      <c r="H459" s="459"/>
      <c r="I459" s="459"/>
      <c r="J459" s="462"/>
      <c r="K459" s="235"/>
      <c r="L459" s="235"/>
      <c r="M459" s="235"/>
      <c r="N459" s="235"/>
      <c r="O459" s="463"/>
      <c r="P459" s="235"/>
    </row>
    <row r="460" spans="2:16">
      <c r="B460" s="474"/>
      <c r="C460" s="519" t="s">
        <v>1751</v>
      </c>
      <c r="D460" s="515"/>
      <c r="E460" s="960" t="s">
        <v>1739</v>
      </c>
      <c r="F460" s="960"/>
      <c r="G460" s="961"/>
      <c r="H460" s="961"/>
      <c r="I460" s="480"/>
      <c r="J460" s="481"/>
      <c r="K460" s="505"/>
      <c r="L460" s="506"/>
      <c r="M460" s="505"/>
      <c r="N460" s="505"/>
      <c r="O460" s="507"/>
      <c r="P460" s="505"/>
    </row>
    <row r="461" spans="2:16">
      <c r="B461" s="274"/>
      <c r="C461" s="460"/>
      <c r="D461" s="461"/>
      <c r="E461" s="459"/>
      <c r="F461" s="459"/>
      <c r="G461" s="459"/>
      <c r="H461" s="459"/>
      <c r="I461" s="459"/>
      <c r="J461" s="462"/>
      <c r="K461" s="235"/>
      <c r="L461" s="235"/>
      <c r="M461" s="235"/>
      <c r="N461" s="235"/>
      <c r="O461" s="463"/>
      <c r="P461" s="235"/>
    </row>
    <row r="462" spans="2:16">
      <c r="B462" s="547"/>
      <c r="C462" s="464" t="s">
        <v>674</v>
      </c>
      <c r="D462" s="516" t="s">
        <v>673</v>
      </c>
      <c r="E462" s="235"/>
      <c r="F462" s="459"/>
      <c r="G462" s="459"/>
      <c r="H462" s="459"/>
      <c r="I462" s="459"/>
      <c r="J462" s="462"/>
      <c r="K462" s="235"/>
      <c r="L462" s="235"/>
      <c r="M462" s="235"/>
      <c r="N462" s="235"/>
      <c r="O462" s="463"/>
      <c r="P462" s="235"/>
    </row>
    <row r="463" spans="2:16">
      <c r="B463" s="549"/>
      <c r="C463" s="550" t="s">
        <v>676</v>
      </c>
      <c r="D463" s="474" t="s">
        <v>675</v>
      </c>
      <c r="E463" s="235"/>
      <c r="F463" s="459"/>
      <c r="G463" s="459"/>
      <c r="H463" s="459"/>
      <c r="I463" s="459"/>
      <c r="J463" s="462"/>
      <c r="K463" s="235"/>
      <c r="L463" s="235"/>
      <c r="M463" s="235"/>
      <c r="N463" s="235"/>
      <c r="O463" s="463"/>
      <c r="P463" s="235"/>
    </row>
    <row r="464" spans="2:16" s="326" customFormat="1">
      <c r="B464" s="549"/>
      <c r="C464" s="550" t="s">
        <v>678</v>
      </c>
      <c r="D464" s="474" t="s">
        <v>677</v>
      </c>
      <c r="E464" s="235"/>
      <c r="F464" s="459"/>
      <c r="G464" s="459"/>
      <c r="H464" s="459"/>
      <c r="I464" s="459"/>
      <c r="J464" s="462"/>
      <c r="K464" s="235"/>
      <c r="L464" s="235"/>
      <c r="M464" s="235"/>
      <c r="N464" s="235"/>
      <c r="O464" s="463"/>
      <c r="P464" s="235"/>
    </row>
    <row r="465" spans="2:19" s="326" customFormat="1" ht="15.75" customHeight="1">
      <c r="B465" s="549"/>
      <c r="C465" s="550" t="s">
        <v>680</v>
      </c>
      <c r="D465" s="474" t="s">
        <v>679</v>
      </c>
      <c r="E465" s="235"/>
      <c r="F465" s="459"/>
      <c r="G465" s="459"/>
      <c r="H465" s="459"/>
      <c r="I465" s="459"/>
      <c r="J465" s="462"/>
      <c r="K465" s="235"/>
      <c r="L465" s="235"/>
      <c r="M465" s="235"/>
      <c r="N465" s="235"/>
      <c r="O465" s="463"/>
      <c r="P465" s="235"/>
    </row>
    <row r="466" spans="2:19" s="326" customFormat="1">
      <c r="B466" s="274"/>
      <c r="C466" s="460"/>
      <c r="D466" s="461"/>
      <c r="E466" s="459"/>
      <c r="F466" s="459"/>
      <c r="G466" s="459"/>
      <c r="H466" s="459"/>
      <c r="I466" s="459"/>
      <c r="J466" s="462"/>
      <c r="K466" s="235"/>
      <c r="L466" s="235"/>
      <c r="M466" s="235"/>
      <c r="N466" s="235"/>
      <c r="O466" s="463"/>
      <c r="P466" s="235"/>
    </row>
    <row r="467" spans="2:19" s="288" customFormat="1" ht="31.5">
      <c r="B467" s="518" t="s">
        <v>1783</v>
      </c>
      <c r="C467" s="269" t="s">
        <v>668</v>
      </c>
      <c r="D467" s="330"/>
      <c r="E467" s="518" t="s">
        <v>1786</v>
      </c>
      <c r="F467" s="518" t="s">
        <v>669</v>
      </c>
      <c r="G467" s="263"/>
      <c r="H467" s="469" t="s">
        <v>82</v>
      </c>
      <c r="I467" s="263"/>
      <c r="J467" s="518" t="s">
        <v>670</v>
      </c>
      <c r="K467" s="235"/>
      <c r="L467" s="235"/>
      <c r="M467" s="235"/>
      <c r="N467" s="235"/>
      <c r="O467" s="463"/>
      <c r="P467" s="235"/>
      <c r="Q467" s="283"/>
      <c r="S467" s="630"/>
    </row>
    <row r="468" spans="2:19" s="323" customFormat="1">
      <c r="B468" s="518">
        <v>1</v>
      </c>
      <c r="C468" s="269" t="s">
        <v>681</v>
      </c>
      <c r="D468" s="330"/>
      <c r="E468" s="518" t="s">
        <v>1864</v>
      </c>
      <c r="F468" s="551">
        <v>16</v>
      </c>
      <c r="G468" s="263"/>
      <c r="H468" s="331">
        <v>482</v>
      </c>
      <c r="I468" s="263"/>
      <c r="J468" s="331">
        <f>F468*H468</f>
        <v>7712</v>
      </c>
      <c r="K468" s="235"/>
      <c r="L468" s="235"/>
      <c r="M468" s="235"/>
      <c r="N468" s="235"/>
      <c r="O468" s="463"/>
      <c r="P468" s="235"/>
      <c r="Q468" s="640"/>
      <c r="S468" s="322"/>
    </row>
    <row r="469" spans="2:19" s="323" customFormat="1">
      <c r="B469" s="518">
        <f>1+B468</f>
        <v>2</v>
      </c>
      <c r="C469" s="269" t="s">
        <v>682</v>
      </c>
      <c r="D469" s="330"/>
      <c r="E469" s="518" t="s">
        <v>1864</v>
      </c>
      <c r="F469" s="551">
        <v>12</v>
      </c>
      <c r="G469" s="263"/>
      <c r="H469" s="331">
        <v>306</v>
      </c>
      <c r="I469" s="263"/>
      <c r="J469" s="331">
        <f>F469*H469</f>
        <v>3672</v>
      </c>
      <c r="K469" s="235"/>
      <c r="L469" s="235"/>
      <c r="M469" s="235"/>
      <c r="N469" s="235"/>
      <c r="O469" s="463"/>
      <c r="P469" s="235"/>
      <c r="Q469" s="640"/>
      <c r="S469" s="322"/>
    </row>
    <row r="470" spans="2:19" s="323" customFormat="1">
      <c r="B470" s="518"/>
      <c r="C470" s="269"/>
      <c r="D470" s="330"/>
      <c r="E470" s="518"/>
      <c r="F470" s="331"/>
      <c r="G470" s="263"/>
      <c r="H470" s="331"/>
      <c r="I470" s="263"/>
      <c r="J470" s="552">
        <f>SUM(J468:J469)</f>
        <v>11384</v>
      </c>
      <c r="K470" s="235"/>
      <c r="L470" s="235"/>
      <c r="M470" s="235"/>
      <c r="N470" s="235"/>
      <c r="O470" s="463"/>
      <c r="P470" s="235"/>
      <c r="Q470" s="640"/>
      <c r="S470" s="322"/>
    </row>
    <row r="471" spans="2:19" s="323" customFormat="1">
      <c r="B471" s="474"/>
      <c r="C471" s="464"/>
      <c r="D471" s="514"/>
      <c r="E471" s="474"/>
      <c r="F471" s="474"/>
      <c r="G471" s="474"/>
      <c r="H471" s="474"/>
      <c r="I471" s="480"/>
      <c r="J471" s="481"/>
      <c r="K471" s="505"/>
      <c r="L471" s="506"/>
      <c r="M471" s="505"/>
      <c r="N471" s="505"/>
      <c r="O471" s="507"/>
      <c r="P471" s="505"/>
      <c r="Q471" s="640"/>
      <c r="S471" s="322"/>
    </row>
    <row r="472" spans="2:19" s="323" customFormat="1">
      <c r="B472" s="474"/>
      <c r="C472" s="519" t="s">
        <v>1751</v>
      </c>
      <c r="D472" s="515"/>
      <c r="E472" s="960" t="s">
        <v>1739</v>
      </c>
      <c r="F472" s="960"/>
      <c r="G472" s="961"/>
      <c r="H472" s="961"/>
      <c r="I472" s="480"/>
      <c r="J472" s="481"/>
      <c r="K472" s="505"/>
      <c r="L472" s="506"/>
      <c r="M472" s="505"/>
      <c r="N472" s="505"/>
      <c r="O472" s="507"/>
      <c r="P472" s="505"/>
      <c r="Q472" s="640"/>
      <c r="S472" s="322"/>
    </row>
    <row r="473" spans="2:19" s="323" customFormat="1">
      <c r="B473" s="474"/>
      <c r="C473" s="517" t="s">
        <v>514</v>
      </c>
      <c r="D473" s="465" t="s">
        <v>514</v>
      </c>
      <c r="E473" s="523"/>
      <c r="F473" s="474"/>
      <c r="G473" s="474"/>
      <c r="H473" s="474"/>
      <c r="I473" s="480"/>
      <c r="J473" s="481"/>
      <c r="K473" s="505"/>
      <c r="L473" s="506"/>
      <c r="M473" s="505"/>
      <c r="N473" s="505"/>
      <c r="O473" s="507"/>
      <c r="P473" s="505"/>
      <c r="Q473" s="640"/>
      <c r="S473" s="322"/>
    </row>
    <row r="474" spans="2:19" s="322" customFormat="1">
      <c r="B474" s="474"/>
      <c r="C474" s="503" t="s">
        <v>515</v>
      </c>
      <c r="D474" s="514"/>
      <c r="E474" s="474"/>
      <c r="F474" s="474"/>
      <c r="G474" s="474"/>
      <c r="H474" s="474"/>
      <c r="I474" s="480"/>
      <c r="J474" s="481"/>
      <c r="K474" s="505"/>
      <c r="L474" s="506"/>
      <c r="M474" s="505"/>
      <c r="N474" s="505"/>
      <c r="O474" s="507"/>
      <c r="P474" s="505"/>
      <c r="Q474" s="641"/>
    </row>
    <row r="475" spans="2:19" s="322" customFormat="1" ht="6" customHeight="1">
      <c r="B475" s="474"/>
      <c r="C475" s="500"/>
      <c r="D475" s="514"/>
      <c r="E475" s="474"/>
      <c r="F475" s="474"/>
      <c r="G475" s="474"/>
      <c r="H475" s="474"/>
      <c r="I475" s="480"/>
      <c r="J475" s="481"/>
      <c r="K475" s="505"/>
      <c r="L475" s="506"/>
      <c r="M475" s="505"/>
      <c r="N475" s="505"/>
      <c r="O475" s="507"/>
      <c r="P475" s="505"/>
      <c r="Q475" s="641"/>
    </row>
    <row r="476" spans="2:19" s="322" customFormat="1" ht="31.5">
      <c r="B476" s="492" t="s">
        <v>1783</v>
      </c>
      <c r="C476" s="105" t="s">
        <v>1860</v>
      </c>
      <c r="D476" s="493"/>
      <c r="E476" s="638" t="s">
        <v>1786</v>
      </c>
      <c r="F476" s="469" t="s">
        <v>1861</v>
      </c>
      <c r="G476" s="469" t="s">
        <v>1862</v>
      </c>
      <c r="H476" s="469" t="s">
        <v>82</v>
      </c>
      <c r="I476" s="470" t="s">
        <v>1863</v>
      </c>
      <c r="J476" s="471" t="s">
        <v>540</v>
      </c>
      <c r="K476" s="505"/>
      <c r="L476" s="506"/>
      <c r="M476" s="505"/>
      <c r="N476" s="505"/>
      <c r="O476" s="507"/>
      <c r="P476" s="505"/>
      <c r="Q476" s="641"/>
    </row>
    <row r="477" spans="2:19" s="322" customFormat="1">
      <c r="B477" s="518">
        <v>1</v>
      </c>
      <c r="C477" s="553" t="s">
        <v>69</v>
      </c>
      <c r="D477" s="553" t="s">
        <v>70</v>
      </c>
      <c r="E477" s="243" t="s">
        <v>958</v>
      </c>
      <c r="F477" s="243">
        <v>5.5</v>
      </c>
      <c r="G477" s="263"/>
      <c r="H477" s="263">
        <f>2618/5.5</f>
        <v>476</v>
      </c>
      <c r="I477" s="265"/>
      <c r="J477" s="276">
        <f>F477*H477</f>
        <v>2618</v>
      </c>
      <c r="K477" s="505"/>
      <c r="L477" s="506"/>
      <c r="M477" s="505"/>
      <c r="N477" s="505"/>
      <c r="O477" s="507"/>
      <c r="P477" s="505"/>
      <c r="Q477" s="641"/>
    </row>
    <row r="478" spans="2:19" s="322" customFormat="1">
      <c r="B478" s="263"/>
      <c r="C478" s="498"/>
      <c r="D478" s="267"/>
      <c r="E478" s="263"/>
      <c r="F478" s="263"/>
      <c r="G478" s="263"/>
      <c r="H478" s="263"/>
      <c r="I478" s="268"/>
      <c r="J478" s="276">
        <f>SUM(J477:J477)</f>
        <v>2618</v>
      </c>
      <c r="K478" s="505"/>
      <c r="L478" s="506"/>
      <c r="M478" s="505"/>
      <c r="N478" s="505"/>
      <c r="O478" s="507"/>
      <c r="P478" s="505"/>
      <c r="Q478" s="641"/>
    </row>
    <row r="479" spans="2:19" s="323" customFormat="1">
      <c r="B479" s="474"/>
      <c r="C479" s="500"/>
      <c r="D479" s="514"/>
      <c r="E479" s="474"/>
      <c r="F479" s="474"/>
      <c r="G479" s="474"/>
      <c r="H479" s="474"/>
      <c r="I479" s="480"/>
      <c r="J479" s="481"/>
      <c r="K479" s="505"/>
      <c r="L479" s="506"/>
      <c r="M479" s="505"/>
      <c r="N479" s="505"/>
      <c r="O479" s="507"/>
      <c r="P479" s="505"/>
      <c r="Q479" s="640"/>
      <c r="S479" s="322"/>
    </row>
    <row r="480" spans="2:19" s="323" customFormat="1">
      <c r="B480" s="474"/>
      <c r="C480" s="519" t="s">
        <v>1751</v>
      </c>
      <c r="D480" s="515"/>
      <c r="E480" s="960" t="s">
        <v>1739</v>
      </c>
      <c r="F480" s="960"/>
      <c r="G480" s="961"/>
      <c r="H480" s="961"/>
      <c r="I480" s="480"/>
      <c r="J480" s="481"/>
      <c r="K480" s="505"/>
      <c r="L480" s="506"/>
      <c r="M480" s="505"/>
      <c r="N480" s="505"/>
      <c r="O480" s="507"/>
      <c r="P480" s="505"/>
      <c r="Q480" s="640"/>
      <c r="S480" s="322"/>
    </row>
    <row r="481" spans="2:16">
      <c r="B481" s="474"/>
      <c r="C481" s="464"/>
      <c r="D481" s="514"/>
      <c r="E481" s="474"/>
      <c r="F481" s="474"/>
      <c r="G481" s="474"/>
      <c r="H481" s="474"/>
      <c r="I481" s="480"/>
      <c r="J481" s="481"/>
      <c r="K481" s="505"/>
      <c r="L481" s="58"/>
      <c r="M481" s="58"/>
      <c r="N481" s="58"/>
      <c r="O481" s="248"/>
      <c r="P481" s="58"/>
    </row>
    <row r="482" spans="2:16" ht="15">
      <c r="B482" s="247"/>
      <c r="C482" s="554" t="s">
        <v>1467</v>
      </c>
      <c r="D482" s="636"/>
      <c r="E482" s="457"/>
      <c r="F482" s="457"/>
      <c r="G482" s="457"/>
      <c r="H482" s="457"/>
      <c r="I482" s="457"/>
      <c r="J482" s="631" t="s">
        <v>1517</v>
      </c>
      <c r="K482" s="505"/>
      <c r="L482" s="58"/>
      <c r="M482" s="58"/>
      <c r="N482" s="58"/>
      <c r="O482" s="248"/>
      <c r="P482" s="58"/>
    </row>
    <row r="483" spans="2:16" ht="15">
      <c r="B483" s="247"/>
      <c r="C483" s="555" t="s">
        <v>1229</v>
      </c>
      <c r="D483" s="556" t="s">
        <v>690</v>
      </c>
      <c r="E483" s="457"/>
      <c r="F483" s="457"/>
      <c r="G483" s="457"/>
      <c r="H483" s="457"/>
      <c r="I483" s="457"/>
      <c r="J483" s="632">
        <f>J116</f>
        <v>903194.34999999986</v>
      </c>
      <c r="K483" s="505"/>
      <c r="L483" s="58"/>
      <c r="M483" s="58"/>
      <c r="N483" s="58"/>
      <c r="O483" s="248"/>
      <c r="P483" s="58"/>
    </row>
    <row r="484" spans="2:16" ht="26.25">
      <c r="B484" s="247"/>
      <c r="C484" s="555" t="s">
        <v>1229</v>
      </c>
      <c r="D484" s="556" t="s">
        <v>896</v>
      </c>
      <c r="E484" s="457"/>
      <c r="F484" s="457"/>
      <c r="G484" s="457"/>
      <c r="H484" s="457"/>
      <c r="I484" s="457"/>
      <c r="J484" s="632">
        <f>J133</f>
        <v>299989</v>
      </c>
      <c r="K484" s="505"/>
      <c r="L484" s="58"/>
      <c r="M484" s="58"/>
      <c r="N484" s="58"/>
      <c r="O484" s="248"/>
      <c r="P484" s="58"/>
    </row>
    <row r="485" spans="2:16" ht="15">
      <c r="B485" s="247"/>
      <c r="C485" s="555" t="s">
        <v>1229</v>
      </c>
      <c r="D485" s="556" t="s">
        <v>918</v>
      </c>
      <c r="E485" s="457"/>
      <c r="F485" s="457"/>
      <c r="G485" s="457"/>
      <c r="H485" s="457"/>
      <c r="I485" s="457"/>
      <c r="J485" s="632">
        <f>J183</f>
        <v>971069.96</v>
      </c>
      <c r="K485" s="505"/>
      <c r="L485" s="58"/>
      <c r="M485" s="58"/>
      <c r="N485" s="58"/>
      <c r="O485" s="248"/>
      <c r="P485" s="58"/>
    </row>
    <row r="486" spans="2:16" ht="15">
      <c r="B486" s="247"/>
      <c r="C486" s="555" t="s">
        <v>1229</v>
      </c>
      <c r="D486" s="556" t="s">
        <v>71</v>
      </c>
      <c r="E486" s="457"/>
      <c r="F486" s="457"/>
      <c r="G486" s="457"/>
      <c r="H486" s="457"/>
      <c r="I486" s="457"/>
      <c r="J486" s="632">
        <f>J242</f>
        <v>141188.79999999999</v>
      </c>
      <c r="K486" s="505"/>
      <c r="L486" s="58"/>
      <c r="M486" s="58"/>
      <c r="N486" s="58"/>
      <c r="O486" s="248"/>
      <c r="P486" s="58"/>
    </row>
    <row r="487" spans="2:16" ht="15">
      <c r="B487" s="247"/>
      <c r="C487" s="555" t="s">
        <v>1229</v>
      </c>
      <c r="D487" s="556" t="s">
        <v>15</v>
      </c>
      <c r="E487" s="457"/>
      <c r="F487" s="457"/>
      <c r="G487" s="457"/>
      <c r="H487" s="457"/>
      <c r="I487" s="457"/>
      <c r="J487" s="632">
        <f>J264</f>
        <v>130800</v>
      </c>
      <c r="K487" s="505"/>
      <c r="L487" s="58"/>
      <c r="M487" s="58"/>
      <c r="N487" s="58"/>
      <c r="O487" s="248"/>
      <c r="P487" s="58"/>
    </row>
    <row r="488" spans="2:16" ht="15">
      <c r="B488" s="247"/>
      <c r="C488" s="555" t="s">
        <v>1942</v>
      </c>
      <c r="D488" s="556" t="s">
        <v>514</v>
      </c>
      <c r="E488" s="457"/>
      <c r="F488" s="457"/>
      <c r="G488" s="457"/>
      <c r="H488" s="457"/>
      <c r="I488" s="457"/>
      <c r="J488" s="632">
        <f>J252</f>
        <v>46900</v>
      </c>
      <c r="K488" s="505"/>
      <c r="L488" s="58"/>
      <c r="M488" s="58"/>
      <c r="N488" s="58"/>
      <c r="O488" s="248"/>
      <c r="P488" s="58"/>
    </row>
    <row r="489" spans="2:16" ht="15">
      <c r="B489" s="247"/>
      <c r="C489" s="555"/>
      <c r="D489" s="637" t="s">
        <v>70</v>
      </c>
      <c r="E489" s="457"/>
      <c r="F489" s="457"/>
      <c r="G489" s="457"/>
      <c r="H489" s="457"/>
      <c r="I489" s="457"/>
      <c r="J489" s="632">
        <f>J478</f>
        <v>2618</v>
      </c>
      <c r="K489" s="505"/>
      <c r="L489" s="58"/>
      <c r="M489" s="58"/>
      <c r="N489" s="58"/>
      <c r="O489" s="248"/>
      <c r="P489" s="58"/>
    </row>
    <row r="490" spans="2:16" ht="15">
      <c r="B490" s="247"/>
      <c r="C490" s="555"/>
      <c r="D490" s="508"/>
      <c r="E490" s="457"/>
      <c r="F490" s="457"/>
      <c r="G490" s="457"/>
      <c r="H490" s="457"/>
      <c r="I490" s="457"/>
      <c r="J490" s="633"/>
      <c r="K490" s="505"/>
      <c r="L490" s="58"/>
      <c r="M490" s="58"/>
      <c r="N490" s="58"/>
      <c r="O490" s="248"/>
      <c r="P490" s="58"/>
    </row>
    <row r="491" spans="2:16" ht="15">
      <c r="B491" s="247"/>
      <c r="C491" s="555" t="s">
        <v>489</v>
      </c>
      <c r="D491" s="508"/>
      <c r="E491" s="457"/>
      <c r="F491" s="250"/>
      <c r="G491" s="457"/>
      <c r="H491" s="457"/>
      <c r="I491" s="457"/>
      <c r="J491" s="631">
        <f>SUM(J483:J490)</f>
        <v>2495760.1099999994</v>
      </c>
      <c r="K491" s="505"/>
      <c r="L491" s="58"/>
      <c r="M491" s="58"/>
      <c r="N491" s="58"/>
      <c r="O491" s="248"/>
      <c r="P491" s="58"/>
    </row>
    <row r="492" spans="2:16" ht="15">
      <c r="B492" s="247"/>
      <c r="C492" s="555"/>
      <c r="D492" s="508"/>
      <c r="E492" s="457"/>
      <c r="F492" s="457"/>
      <c r="G492" s="457"/>
      <c r="H492" s="457"/>
      <c r="I492" s="457"/>
      <c r="J492" s="631"/>
      <c r="K492" s="505"/>
      <c r="L492" s="58"/>
      <c r="M492" s="58"/>
      <c r="N492" s="58"/>
      <c r="O492" s="248"/>
      <c r="P492" s="58"/>
    </row>
    <row r="493" spans="2:16" ht="15">
      <c r="B493" s="247"/>
      <c r="C493" s="555" t="s">
        <v>1230</v>
      </c>
      <c r="D493" s="564" t="s">
        <v>72</v>
      </c>
      <c r="E493" s="457"/>
      <c r="F493" s="457"/>
      <c r="G493" s="457"/>
      <c r="H493" s="473"/>
      <c r="I493" s="457"/>
      <c r="J493" s="632">
        <f>J421</f>
        <v>998109.29000000015</v>
      </c>
      <c r="K493" s="505"/>
      <c r="L493" s="58"/>
      <c r="M493" s="58"/>
      <c r="N493" s="58"/>
      <c r="O493" s="248"/>
      <c r="P493" s="58"/>
    </row>
    <row r="494" spans="2:16" ht="26.25">
      <c r="B494" s="247"/>
      <c r="C494" s="557" t="s">
        <v>73</v>
      </c>
      <c r="D494" s="564" t="s">
        <v>74</v>
      </c>
      <c r="E494" s="457"/>
      <c r="F494" s="457"/>
      <c r="G494" s="457"/>
      <c r="H494" s="457"/>
      <c r="I494" s="457"/>
      <c r="J494" s="632">
        <f>J444</f>
        <v>33870.32</v>
      </c>
      <c r="K494" s="505"/>
      <c r="L494" s="58"/>
      <c r="M494" s="58"/>
      <c r="N494" s="58"/>
      <c r="O494" s="248"/>
      <c r="P494" s="58"/>
    </row>
    <row r="495" spans="2:16" ht="15">
      <c r="B495" s="247"/>
      <c r="C495" s="555" t="s">
        <v>1230</v>
      </c>
      <c r="D495" s="351" t="s">
        <v>75</v>
      </c>
      <c r="E495" s="457"/>
      <c r="F495" s="457"/>
      <c r="G495" s="457"/>
      <c r="H495" s="473"/>
      <c r="I495" s="457"/>
      <c r="J495" s="632">
        <f>J433</f>
        <v>22200</v>
      </c>
      <c r="K495" s="505"/>
      <c r="L495" s="58"/>
      <c r="M495" s="58"/>
      <c r="N495" s="58"/>
      <c r="O495" s="248"/>
      <c r="P495" s="58"/>
    </row>
    <row r="496" spans="2:16" ht="28.5">
      <c r="B496" s="247"/>
      <c r="C496" s="555" t="s">
        <v>683</v>
      </c>
      <c r="D496" s="351" t="s">
        <v>65</v>
      </c>
      <c r="E496" s="457"/>
      <c r="F496" s="457"/>
      <c r="G496" s="457"/>
      <c r="H496" s="473"/>
      <c r="I496" s="457"/>
      <c r="J496" s="632">
        <f>J458</f>
        <v>78664</v>
      </c>
      <c r="K496" s="505"/>
      <c r="L496" s="58"/>
      <c r="M496" s="58"/>
      <c r="N496" s="58"/>
      <c r="O496" s="248"/>
      <c r="P496" s="58"/>
    </row>
    <row r="497" spans="2:20" ht="28.5">
      <c r="B497" s="247"/>
      <c r="C497" s="555" t="s">
        <v>683</v>
      </c>
      <c r="D497" s="508"/>
      <c r="E497" s="457"/>
      <c r="F497" s="457"/>
      <c r="G497" s="457"/>
      <c r="H497" s="457"/>
      <c r="I497" s="457"/>
      <c r="J497" s="632">
        <f>J470</f>
        <v>11384</v>
      </c>
      <c r="K497" s="505"/>
      <c r="L497" s="58"/>
      <c r="M497" s="58"/>
      <c r="N497" s="58"/>
      <c r="O497" s="248"/>
      <c r="P497" s="58"/>
    </row>
    <row r="498" spans="2:20" ht="15">
      <c r="B498" s="247"/>
      <c r="C498" s="555" t="s">
        <v>1231</v>
      </c>
      <c r="D498" s="508" t="s">
        <v>76</v>
      </c>
      <c r="E498" s="457"/>
      <c r="F498" s="457"/>
      <c r="G498" s="457"/>
      <c r="H498" s="457"/>
      <c r="I498" s="457"/>
      <c r="J498" s="632">
        <f>J291</f>
        <v>121076</v>
      </c>
      <c r="K498" s="505"/>
      <c r="L498" s="58"/>
      <c r="M498" s="58"/>
      <c r="N498" s="58"/>
      <c r="O498" s="248"/>
      <c r="P498" s="58"/>
    </row>
    <row r="499" spans="2:20" ht="15">
      <c r="B499" s="457"/>
      <c r="C499" s="558"/>
      <c r="D499" s="249"/>
      <c r="E499" s="457"/>
      <c r="F499" s="457"/>
      <c r="G499" s="457"/>
      <c r="H499" s="457"/>
      <c r="I499" s="457"/>
      <c r="J499" s="633"/>
      <c r="K499" s="505"/>
      <c r="L499" s="58"/>
      <c r="M499" s="58"/>
      <c r="N499" s="58"/>
      <c r="O499" s="248"/>
      <c r="P499" s="58"/>
    </row>
    <row r="500" spans="2:20" ht="15">
      <c r="B500" s="457"/>
      <c r="C500" s="558"/>
      <c r="D500" s="249"/>
      <c r="E500" s="457"/>
      <c r="F500" s="457"/>
      <c r="G500" s="457"/>
      <c r="H500" s="457"/>
      <c r="I500" s="457"/>
      <c r="J500" s="631">
        <f>SUM(J491:J499)</f>
        <v>3761063.7199999993</v>
      </c>
      <c r="K500" s="505"/>
      <c r="L500" s="58"/>
      <c r="M500" s="58"/>
      <c r="N500" s="58"/>
      <c r="O500" s="248"/>
      <c r="P500" s="58"/>
      <c r="T500" s="372">
        <f>J500-R500</f>
        <v>3761063.7199999993</v>
      </c>
    </row>
    <row r="501" spans="2:20" ht="15">
      <c r="B501" s="248"/>
      <c r="C501" s="559"/>
      <c r="D501" s="560"/>
      <c r="E501" s="248"/>
      <c r="F501" s="248"/>
      <c r="G501" s="248"/>
      <c r="H501" s="248"/>
      <c r="I501" s="248"/>
      <c r="J501" s="561">
        <f>J116+J133+J183+J242+J252+J264+J291+J421+J458+J470+J433+J444+J478+J503</f>
        <v>4889382.8359999992</v>
      </c>
      <c r="K501" s="505"/>
      <c r="L501" s="58"/>
      <c r="M501" s="58"/>
      <c r="N501" s="58"/>
      <c r="O501" s="248"/>
      <c r="P501" s="58"/>
    </row>
    <row r="502" spans="2:20" ht="15">
      <c r="B502" s="248"/>
      <c r="C502" s="559"/>
      <c r="D502" s="560"/>
      <c r="E502" s="248"/>
      <c r="F502" s="248"/>
      <c r="G502" s="248"/>
      <c r="H502" s="248"/>
      <c r="I502" s="248"/>
      <c r="J502" s="561">
        <f>J501-J500</f>
        <v>1128319.1159999999</v>
      </c>
      <c r="K502" s="505"/>
      <c r="L502" s="58"/>
      <c r="M502" s="58"/>
      <c r="N502" s="58"/>
      <c r="O502" s="248"/>
      <c r="P502" s="58"/>
    </row>
    <row r="503" spans="2:20" ht="15">
      <c r="B503" s="248"/>
      <c r="C503" s="559"/>
      <c r="D503" s="560"/>
      <c r="E503" s="248"/>
      <c r="F503" s="248"/>
      <c r="G503" s="248"/>
      <c r="H503" s="248"/>
      <c r="I503" s="248"/>
      <c r="J503" s="561">
        <f>J500*J504</f>
        <v>1128319.1159999997</v>
      </c>
      <c r="K503" s="505"/>
      <c r="L503" s="58"/>
      <c r="M503" s="58"/>
      <c r="N503" s="58"/>
      <c r="O503" s="248"/>
      <c r="P503" s="58"/>
    </row>
    <row r="504" spans="2:20">
      <c r="J504" s="635">
        <v>0.3</v>
      </c>
      <c r="K504" s="505"/>
    </row>
    <row r="507" spans="2:20">
      <c r="J507" s="635"/>
    </row>
  </sheetData>
  <mergeCells count="9">
    <mergeCell ref="E472:H472"/>
    <mergeCell ref="E480:H480"/>
    <mergeCell ref="E254:H254"/>
    <mergeCell ref="E266:H266"/>
    <mergeCell ref="E293:H293"/>
    <mergeCell ref="E423:H423"/>
    <mergeCell ref="E435:H435"/>
    <mergeCell ref="E446:H446"/>
    <mergeCell ref="E460:H460"/>
  </mergeCells>
  <phoneticPr fontId="55" type="noConversion"/>
  <hyperlinks>
    <hyperlink ref="C246" r:id="rId1" display="https://prozorro.gov.ua/tender/UA-2022-11-15-000746-a"/>
    <hyperlink ref="D137" r:id="rId2" display="https://prozorro.gov.ua/tender/UA-2023-02-15-008923-a"/>
    <hyperlink ref="D2" r:id="rId3" display="https://prozorro.gov.ua/tender/UA-2023-02-14-014990-a"/>
    <hyperlink ref="D246" r:id="rId4" display="https://prozorro.gov.ua/tender/UA-2023-02-17-001227-a"/>
    <hyperlink ref="D120" r:id="rId5" display="https://prozorro.gov.ua/tender/UA-2023-02-08-011239-a"/>
    <hyperlink ref="D256" r:id="rId6" display="https://prozorro.gov.ua/tender/UA-2023-02-13-007961-a"/>
    <hyperlink ref="D188" r:id="rId7" display="https://prozorro.gov.ua/tender/UA-2023-02-21-003469-a"/>
    <hyperlink ref="D483" r:id="rId8" display="https://prozorro.gov.ua/tender/UA-2023-02-14-014990-a"/>
    <hyperlink ref="D484" r:id="rId9" display="https://prozorro.gov.ua/tender/UA-2023-02-08-011239-a"/>
    <hyperlink ref="D485" r:id="rId10" display="https://prozorro.gov.ua/tender/UA-2023-02-15-008923-a"/>
    <hyperlink ref="D486" r:id="rId11" display="https://prozorro.gov.ua/tender/UA-2023-02-21-003469-a"/>
    <hyperlink ref="D487" r:id="rId12" display="https://prozorro.gov.ua/tender/UA-2023-02-13-007961-a"/>
    <hyperlink ref="D488" r:id="rId13" display="https://prozorro.gov.ua/tender/UA-2023-02-17-001227-a"/>
    <hyperlink ref="D449" r:id="rId14" display="https://prozorro.gov.ua/tender/UA-2023-03-02-006915-a"/>
    <hyperlink ref="D269" r:id="rId15" display="https://prozorro.gov.ua/tender/UA-2023-03-08-007447-a"/>
    <hyperlink ref="D295" r:id="rId16" display="https://prozorro.gov.ua/tender/UA-2023-03-15-007710-a"/>
    <hyperlink ref="D493" r:id="rId17" display="https://prozorro.gov.ua/tender/UA-2023-03-15-007710-a"/>
    <hyperlink ref="D494" r:id="rId18" display="https://prozorro.gov.ua/plan/UA-P-2023-03-21-000467-c"/>
    <hyperlink ref="D437" r:id="rId19" display="https://prozorro.gov.ua/plan/UA-P-2023-03-21-000467-c"/>
    <hyperlink ref="C437" r:id="rId20" display="https://prozorro.gov.ua/plan/UA-P-2023-03-21-000467-c"/>
    <hyperlink ref="C494" r:id="rId21" display="https://prozorro.gov.ua/plan/UA-P-2023-03-21-000467-c"/>
    <hyperlink ref="D425" r:id="rId22" display="https://prozorro.gov.ua/tender/UA-2023-04-07-009129-a"/>
    <hyperlink ref="D489" r:id="rId23" display="https://prozorro.gov.ua/plan/UA-P-2023-05-15-005169-b"/>
    <hyperlink ref="C473" r:id="rId24" display="https://prozorro.gov.ua/tender/UA-2022-11-15-000746-a"/>
    <hyperlink ref="D473" r:id="rId25" display="https://prozorro.gov.ua/tender/UA-2023-02-17-001227-a"/>
    <hyperlink ref="C477" r:id="rId26" display="https://prozorro.gov.ua/plan/UA-P-2023-05-15-005169-b"/>
    <hyperlink ref="D477" r:id="rId27" display="https://prozorro.gov.ua/plan/UA-P-2023-05-15-005169-b"/>
  </hyperlinks>
  <pageMargins left="0" right="0" top="0" bottom="0" header="0" footer="0"/>
  <pageSetup paperSize="9" scale="66" fitToHeight="100" orientation="landscape" r:id="rId28"/>
  <rowBreaks count="6" manualBreakCount="6">
    <brk id="142" min="1" max="9" man="1"/>
    <brk id="197" min="1" max="9" man="1"/>
    <brk id="257" min="1" max="9" man="1"/>
    <brk id="283" min="1" max="9" man="1"/>
    <brk id="312" min="1" max="9" man="1"/>
    <brk id="465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J53"/>
  <sheetViews>
    <sheetView view="pageBreakPreview" zoomScale="80" zoomScaleNormal="100" zoomScaleSheetLayoutView="80" workbookViewId="0">
      <selection activeCell="E7" sqref="E7"/>
    </sheetView>
  </sheetViews>
  <sheetFormatPr defaultRowHeight="15"/>
  <cols>
    <col min="2" max="2" width="33" style="325" customWidth="1"/>
    <col min="3" max="3" width="13.7109375" style="446" bestFit="1" customWidth="1"/>
    <col min="4" max="4" width="74.7109375" style="445" bestFit="1" customWidth="1"/>
    <col min="5" max="5" width="25.85546875" style="573" customWidth="1"/>
    <col min="6" max="7" width="33" style="573" customWidth="1"/>
  </cols>
  <sheetData>
    <row r="1" spans="2:10" s="282" customFormat="1" ht="18.75">
      <c r="B1" s="277" t="s">
        <v>1788</v>
      </c>
      <c r="C1" s="278"/>
      <c r="D1" s="279"/>
      <c r="E1" s="280"/>
      <c r="F1" s="280"/>
      <c r="G1" s="572"/>
    </row>
    <row r="2" spans="2:10" s="282" customFormat="1" ht="18.75">
      <c r="B2" s="278" t="s">
        <v>1789</v>
      </c>
      <c r="C2" s="278"/>
      <c r="D2" s="279"/>
      <c r="E2" s="280"/>
      <c r="F2" s="280"/>
      <c r="G2" s="281"/>
    </row>
    <row r="3" spans="2:10" ht="16.5">
      <c r="B3" s="255" t="s">
        <v>1227</v>
      </c>
      <c r="C3" s="256"/>
      <c r="D3" s="255"/>
      <c r="E3" s="257"/>
      <c r="F3" s="258"/>
      <c r="G3" s="567">
        <f>$G$52/12</f>
        <v>81241.020933333333</v>
      </c>
    </row>
    <row r="4" spans="2:10" ht="16.5">
      <c r="B4" s="255" t="s">
        <v>1375</v>
      </c>
      <c r="C4" s="256"/>
      <c r="D4" s="255"/>
      <c r="E4" s="257"/>
      <c r="F4" s="258"/>
      <c r="G4" s="567">
        <f t="shared" ref="G4:G14" si="0">$G$52/12</f>
        <v>81241.020933333333</v>
      </c>
    </row>
    <row r="5" spans="2:10" ht="16.5">
      <c r="B5" s="255" t="s">
        <v>1376</v>
      </c>
      <c r="C5" s="256"/>
      <c r="D5" s="255"/>
      <c r="E5" s="257"/>
      <c r="F5" s="258"/>
      <c r="G5" s="567">
        <f t="shared" si="0"/>
        <v>81241.020933333333</v>
      </c>
    </row>
    <row r="6" spans="2:10" ht="16.5">
      <c r="B6" s="255" t="s">
        <v>1377</v>
      </c>
      <c r="C6" s="256"/>
      <c r="D6" s="255"/>
      <c r="E6" s="257"/>
      <c r="F6" s="257"/>
      <c r="G6" s="567">
        <f t="shared" si="0"/>
        <v>81241.020933333333</v>
      </c>
    </row>
    <row r="7" spans="2:10" ht="16.5">
      <c r="B7" s="255" t="s">
        <v>1378</v>
      </c>
      <c r="C7" s="256"/>
      <c r="D7" s="255"/>
      <c r="E7" s="257"/>
      <c r="F7" s="257"/>
      <c r="G7" s="567">
        <f t="shared" si="0"/>
        <v>81241.020933333333</v>
      </c>
    </row>
    <row r="8" spans="2:10" ht="16.5">
      <c r="B8" s="255" t="s">
        <v>1379</v>
      </c>
      <c r="C8" s="256"/>
      <c r="D8" s="255"/>
      <c r="E8" s="257"/>
      <c r="F8" s="257"/>
      <c r="G8" s="567">
        <f t="shared" si="0"/>
        <v>81241.020933333333</v>
      </c>
    </row>
    <row r="9" spans="2:10" ht="16.5">
      <c r="B9" s="255" t="s">
        <v>1228</v>
      </c>
      <c r="C9" s="256"/>
      <c r="D9" s="255"/>
      <c r="E9" s="257"/>
      <c r="F9" s="257"/>
      <c r="G9" s="567">
        <f t="shared" si="0"/>
        <v>81241.020933333333</v>
      </c>
    </row>
    <row r="10" spans="2:10" ht="16.5">
      <c r="B10" s="255" t="s">
        <v>1381</v>
      </c>
      <c r="C10" s="256"/>
      <c r="D10" s="255"/>
      <c r="E10" s="257"/>
      <c r="F10" s="257"/>
      <c r="G10" s="567">
        <f t="shared" si="0"/>
        <v>81241.020933333333</v>
      </c>
    </row>
    <row r="11" spans="2:10" ht="16.5">
      <c r="B11" s="255" t="s">
        <v>1382</v>
      </c>
      <c r="C11" s="256"/>
      <c r="D11" s="255"/>
      <c r="E11" s="257"/>
      <c r="F11" s="257"/>
      <c r="G11" s="567">
        <f t="shared" si="0"/>
        <v>81241.020933333333</v>
      </c>
    </row>
    <row r="12" spans="2:10" ht="16.5">
      <c r="B12" s="255" t="s">
        <v>1383</v>
      </c>
      <c r="C12" s="256"/>
      <c r="D12" s="255"/>
      <c r="E12" s="257"/>
      <c r="F12" s="257"/>
      <c r="G12" s="567">
        <f t="shared" si="0"/>
        <v>81241.020933333333</v>
      </c>
    </row>
    <row r="13" spans="2:10" ht="16.5">
      <c r="B13" s="255" t="s">
        <v>1384</v>
      </c>
      <c r="C13" s="256"/>
      <c r="D13" s="255"/>
      <c r="E13" s="257"/>
      <c r="F13" s="257"/>
      <c r="G13" s="567">
        <f t="shared" si="0"/>
        <v>81241.020933333333</v>
      </c>
    </row>
    <row r="14" spans="2:10" ht="16.5">
      <c r="B14" s="255" t="s">
        <v>1385</v>
      </c>
      <c r="C14" s="256"/>
      <c r="D14" s="255"/>
      <c r="E14" s="257"/>
      <c r="F14" s="257"/>
      <c r="G14" s="567">
        <f t="shared" si="0"/>
        <v>81241.020933333333</v>
      </c>
    </row>
    <row r="15" spans="2:10" ht="16.5">
      <c r="B15" s="256"/>
      <c r="C15" s="256"/>
      <c r="D15" s="255"/>
      <c r="E15" s="257"/>
      <c r="F15" s="258"/>
      <c r="G15" s="377">
        <f>SUM(G3:G14)</f>
        <v>974892.25119999994</v>
      </c>
      <c r="J15" s="74"/>
    </row>
    <row r="16" spans="2:10" ht="15.75">
      <c r="B16" s="259" t="s">
        <v>1790</v>
      </c>
      <c r="C16" s="242" t="s">
        <v>1681</v>
      </c>
      <c r="D16" s="260"/>
      <c r="E16" s="259" t="s">
        <v>1791</v>
      </c>
      <c r="F16" s="259" t="s">
        <v>1792</v>
      </c>
      <c r="G16" s="275" t="s">
        <v>1793</v>
      </c>
    </row>
    <row r="17" spans="1:7" ht="15.75">
      <c r="B17" s="261"/>
      <c r="C17" s="261"/>
      <c r="D17" s="262"/>
      <c r="E17" s="263"/>
      <c r="F17" s="263"/>
      <c r="G17" s="244"/>
    </row>
    <row r="18" spans="1:7" ht="15.75">
      <c r="B18" s="261" t="s">
        <v>1794</v>
      </c>
      <c r="C18" s="261" t="s">
        <v>1795</v>
      </c>
      <c r="D18" s="262" t="s">
        <v>1796</v>
      </c>
      <c r="E18" s="264">
        <v>3900</v>
      </c>
      <c r="F18" s="265">
        <v>15</v>
      </c>
      <c r="G18" s="244">
        <f>E18*F18</f>
        <v>58500</v>
      </c>
    </row>
    <row r="19" spans="1:7" ht="15.75">
      <c r="B19" s="269" t="s">
        <v>1832</v>
      </c>
      <c r="C19" s="261" t="s">
        <v>1833</v>
      </c>
      <c r="D19" s="262" t="s">
        <v>1834</v>
      </c>
      <c r="E19" s="264">
        <v>460</v>
      </c>
      <c r="F19" s="265">
        <v>210.6</v>
      </c>
      <c r="G19" s="244">
        <f t="shared" ref="G19:G51" si="1">E19*F19</f>
        <v>96876</v>
      </c>
    </row>
    <row r="20" spans="1:7" ht="15.75">
      <c r="B20" s="266" t="s">
        <v>77</v>
      </c>
      <c r="C20" s="261" t="s">
        <v>1821</v>
      </c>
      <c r="D20" s="262" t="s">
        <v>1822</v>
      </c>
      <c r="E20" s="264">
        <v>1</v>
      </c>
      <c r="F20" s="264">
        <v>381.5</v>
      </c>
      <c r="G20" s="244">
        <f>E20*F20</f>
        <v>381.5</v>
      </c>
    </row>
    <row r="21" spans="1:7" s="58" customFormat="1" ht="15.75">
      <c r="A21" s="117"/>
      <c r="B21" s="266" t="s">
        <v>1843</v>
      </c>
      <c r="C21" s="261" t="s">
        <v>1821</v>
      </c>
      <c r="D21" s="262" t="s">
        <v>1822</v>
      </c>
      <c r="E21" s="264">
        <v>5</v>
      </c>
      <c r="F21" s="264">
        <v>180</v>
      </c>
      <c r="G21" s="244">
        <f t="shared" si="1"/>
        <v>900</v>
      </c>
    </row>
    <row r="22" spans="1:7" s="114" customFormat="1" ht="15.75">
      <c r="A22" s="270"/>
      <c r="B22" s="266" t="s">
        <v>1820</v>
      </c>
      <c r="C22" s="261" t="s">
        <v>1821</v>
      </c>
      <c r="D22" s="262" t="s">
        <v>1822</v>
      </c>
      <c r="E22" s="264">
        <v>5.5</v>
      </c>
      <c r="F22" s="264">
        <v>280</v>
      </c>
      <c r="G22" s="244">
        <f t="shared" si="1"/>
        <v>1540</v>
      </c>
    </row>
    <row r="23" spans="1:7" s="114" customFormat="1" ht="15.75">
      <c r="A23" s="270"/>
      <c r="B23" s="266" t="s">
        <v>1844</v>
      </c>
      <c r="C23" s="261" t="s">
        <v>1821</v>
      </c>
      <c r="D23" s="262" t="s">
        <v>1822</v>
      </c>
      <c r="E23" s="264">
        <v>540</v>
      </c>
      <c r="F23" s="264">
        <v>20</v>
      </c>
      <c r="G23" s="244">
        <f t="shared" si="1"/>
        <v>10800</v>
      </c>
    </row>
    <row r="24" spans="1:7" s="58" customFormat="1" ht="15.75">
      <c r="A24" s="117"/>
      <c r="B24" s="269" t="s">
        <v>1840</v>
      </c>
      <c r="C24" s="261" t="s">
        <v>1841</v>
      </c>
      <c r="D24" s="262" t="s">
        <v>1842</v>
      </c>
      <c r="E24" s="273">
        <v>130</v>
      </c>
      <c r="F24" s="264">
        <v>220</v>
      </c>
      <c r="G24" s="244">
        <f t="shared" si="1"/>
        <v>28600</v>
      </c>
    </row>
    <row r="25" spans="1:7" s="58" customFormat="1" ht="15.75">
      <c r="A25" s="117"/>
      <c r="B25" s="269" t="s">
        <v>1826</v>
      </c>
      <c r="C25" s="261" t="s">
        <v>1827</v>
      </c>
      <c r="D25" s="262" t="s">
        <v>1828</v>
      </c>
      <c r="E25" s="273">
        <v>400</v>
      </c>
      <c r="F25" s="264">
        <v>83</v>
      </c>
      <c r="G25" s="244">
        <f t="shared" si="1"/>
        <v>33200</v>
      </c>
    </row>
    <row r="26" spans="1:7" s="58" customFormat="1" ht="15.75">
      <c r="A26" s="117"/>
      <c r="B26" s="266" t="s">
        <v>1858</v>
      </c>
      <c r="C26" s="261" t="s">
        <v>1827</v>
      </c>
      <c r="D26" s="262" t="s">
        <v>1828</v>
      </c>
      <c r="E26" s="264"/>
      <c r="F26" s="264">
        <v>150</v>
      </c>
      <c r="G26" s="244">
        <f t="shared" si="1"/>
        <v>0</v>
      </c>
    </row>
    <row r="27" spans="1:7" s="58" customFormat="1" ht="15.75">
      <c r="A27" s="117"/>
      <c r="B27" s="266" t="s">
        <v>1852</v>
      </c>
      <c r="C27" s="261" t="s">
        <v>1853</v>
      </c>
      <c r="D27" s="262" t="s">
        <v>1854</v>
      </c>
      <c r="E27" s="264"/>
      <c r="F27" s="264">
        <v>120</v>
      </c>
      <c r="G27" s="244">
        <f t="shared" si="1"/>
        <v>0</v>
      </c>
    </row>
    <row r="28" spans="1:7" s="58" customFormat="1" ht="15.75">
      <c r="A28" s="117"/>
      <c r="B28" s="266" t="s">
        <v>1837</v>
      </c>
      <c r="C28" s="261" t="s">
        <v>1838</v>
      </c>
      <c r="D28" s="262" t="s">
        <v>1839</v>
      </c>
      <c r="E28" s="264">
        <v>100</v>
      </c>
      <c r="F28" s="264">
        <v>24</v>
      </c>
      <c r="G28" s="244">
        <f t="shared" si="1"/>
        <v>2400</v>
      </c>
    </row>
    <row r="29" spans="1:7" s="58" customFormat="1" ht="15.75">
      <c r="A29" s="117"/>
      <c r="B29" s="269" t="s">
        <v>1800</v>
      </c>
      <c r="C29" s="261" t="s">
        <v>1801</v>
      </c>
      <c r="D29" s="262" t="s">
        <v>1802</v>
      </c>
      <c r="E29" s="264">
        <v>700</v>
      </c>
      <c r="F29" s="264">
        <v>17</v>
      </c>
      <c r="G29" s="244">
        <f t="shared" si="1"/>
        <v>11900</v>
      </c>
    </row>
    <row r="30" spans="1:7" s="58" customFormat="1" ht="15.75">
      <c r="A30" s="117"/>
      <c r="B30" s="269" t="s">
        <v>1848</v>
      </c>
      <c r="C30" s="261" t="s">
        <v>1798</v>
      </c>
      <c r="D30" s="262" t="s">
        <v>1799</v>
      </c>
      <c r="E30" s="264">
        <v>1200</v>
      </c>
      <c r="F30" s="264">
        <v>15</v>
      </c>
      <c r="G30" s="244">
        <f t="shared" si="1"/>
        <v>18000</v>
      </c>
    </row>
    <row r="31" spans="1:7" s="58" customFormat="1" ht="15.75">
      <c r="A31" s="117"/>
      <c r="B31" s="269" t="s">
        <v>1857</v>
      </c>
      <c r="C31" s="261" t="s">
        <v>1798</v>
      </c>
      <c r="D31" s="262" t="s">
        <v>1799</v>
      </c>
      <c r="E31" s="264">
        <v>12400</v>
      </c>
      <c r="F31" s="264">
        <v>15</v>
      </c>
      <c r="G31" s="244">
        <f t="shared" si="1"/>
        <v>186000</v>
      </c>
    </row>
    <row r="32" spans="1:7" s="58" customFormat="1" ht="15.75">
      <c r="A32" s="117"/>
      <c r="B32" s="269" t="s">
        <v>1849</v>
      </c>
      <c r="C32" s="261" t="s">
        <v>1798</v>
      </c>
      <c r="D32" s="262" t="s">
        <v>1799</v>
      </c>
      <c r="E32" s="264">
        <v>1200</v>
      </c>
      <c r="F32" s="264">
        <v>20</v>
      </c>
      <c r="G32" s="244">
        <f t="shared" si="1"/>
        <v>24000</v>
      </c>
    </row>
    <row r="33" spans="1:7" s="58" customFormat="1" ht="15.75">
      <c r="A33" s="117"/>
      <c r="B33" s="266" t="s">
        <v>1850</v>
      </c>
      <c r="C33" s="261" t="s">
        <v>1798</v>
      </c>
      <c r="D33" s="262" t="s">
        <v>1799</v>
      </c>
      <c r="E33" s="264">
        <v>600</v>
      </c>
      <c r="F33" s="264">
        <v>13</v>
      </c>
      <c r="G33" s="244">
        <f t="shared" si="1"/>
        <v>7800</v>
      </c>
    </row>
    <row r="34" spans="1:7" s="58" customFormat="1" ht="15.75">
      <c r="A34" s="117"/>
      <c r="B34" s="269" t="s">
        <v>1797</v>
      </c>
      <c r="C34" s="261" t="s">
        <v>1798</v>
      </c>
      <c r="D34" s="262" t="s">
        <v>1799</v>
      </c>
      <c r="E34" s="264">
        <v>650</v>
      </c>
      <c r="F34" s="264">
        <v>13</v>
      </c>
      <c r="G34" s="244">
        <f t="shared" si="1"/>
        <v>8450</v>
      </c>
    </row>
    <row r="35" spans="1:7" s="442" customFormat="1" ht="15.75">
      <c r="B35" s="443" t="s">
        <v>1845</v>
      </c>
      <c r="C35" s="447" t="s">
        <v>1846</v>
      </c>
      <c r="D35" s="448" t="s">
        <v>1847</v>
      </c>
      <c r="E35" s="444">
        <v>9</v>
      </c>
      <c r="F35" s="444">
        <v>140</v>
      </c>
      <c r="G35" s="244">
        <f t="shared" si="1"/>
        <v>1260</v>
      </c>
    </row>
    <row r="36" spans="1:7" s="454" customFormat="1" ht="15.75">
      <c r="A36" s="449"/>
      <c r="B36" s="450" t="s">
        <v>1808</v>
      </c>
      <c r="C36" s="451" t="s">
        <v>1804</v>
      </c>
      <c r="D36" s="452" t="s">
        <v>1805</v>
      </c>
      <c r="E36" s="453">
        <v>100</v>
      </c>
      <c r="F36" s="337">
        <v>19</v>
      </c>
      <c r="G36" s="244">
        <f t="shared" si="1"/>
        <v>1900</v>
      </c>
    </row>
    <row r="37" spans="1:7" s="454" customFormat="1" ht="15.75">
      <c r="B37" s="450" t="s">
        <v>1809</v>
      </c>
      <c r="C37" s="451" t="s">
        <v>1804</v>
      </c>
      <c r="D37" s="452" t="s">
        <v>1805</v>
      </c>
      <c r="E37" s="455">
        <v>480</v>
      </c>
      <c r="F37" s="455">
        <v>22</v>
      </c>
      <c r="G37" s="244">
        <f t="shared" si="1"/>
        <v>10560</v>
      </c>
    </row>
    <row r="38" spans="1:7" s="454" customFormat="1" ht="15.75">
      <c r="B38" s="450" t="s">
        <v>1810</v>
      </c>
      <c r="C38" s="451" t="s">
        <v>1804</v>
      </c>
      <c r="D38" s="452" t="s">
        <v>1805</v>
      </c>
      <c r="E38" s="455">
        <v>600</v>
      </c>
      <c r="F38" s="455">
        <v>24</v>
      </c>
      <c r="G38" s="244">
        <f t="shared" si="1"/>
        <v>14400</v>
      </c>
    </row>
    <row r="39" spans="1:7" s="454" customFormat="1" ht="15.75">
      <c r="B39" s="456" t="s">
        <v>1811</v>
      </c>
      <c r="C39" s="451" t="s">
        <v>1804</v>
      </c>
      <c r="D39" s="452" t="s">
        <v>1805</v>
      </c>
      <c r="E39" s="455">
        <v>630</v>
      </c>
      <c r="F39" s="455">
        <v>48</v>
      </c>
      <c r="G39" s="244">
        <f t="shared" si="1"/>
        <v>30240</v>
      </c>
    </row>
    <row r="40" spans="1:7" s="454" customFormat="1" ht="15.75">
      <c r="B40" s="450" t="s">
        <v>1806</v>
      </c>
      <c r="C40" s="451" t="s">
        <v>1804</v>
      </c>
      <c r="D40" s="452" t="s">
        <v>1805</v>
      </c>
      <c r="E40" s="455">
        <v>270</v>
      </c>
      <c r="F40" s="455">
        <v>11</v>
      </c>
      <c r="G40" s="244">
        <f t="shared" si="1"/>
        <v>2970</v>
      </c>
    </row>
    <row r="41" spans="1:7" s="58" customFormat="1" ht="15.75">
      <c r="B41" s="266" t="s">
        <v>1851</v>
      </c>
      <c r="C41" s="261" t="s">
        <v>1804</v>
      </c>
      <c r="D41" s="262" t="s">
        <v>1805</v>
      </c>
      <c r="E41" s="264">
        <v>480</v>
      </c>
      <c r="F41" s="264">
        <v>10</v>
      </c>
      <c r="G41" s="244">
        <f t="shared" si="1"/>
        <v>4800</v>
      </c>
    </row>
    <row r="42" spans="1:7" s="58" customFormat="1" ht="15.75">
      <c r="B42" s="266" t="s">
        <v>1803</v>
      </c>
      <c r="C42" s="261" t="s">
        <v>1804</v>
      </c>
      <c r="D42" s="262" t="s">
        <v>1805</v>
      </c>
      <c r="E42" s="264">
        <v>360</v>
      </c>
      <c r="F42" s="264">
        <v>12</v>
      </c>
      <c r="G42" s="244">
        <f t="shared" si="1"/>
        <v>4320</v>
      </c>
    </row>
    <row r="43" spans="1:7" s="58" customFormat="1" ht="15.75">
      <c r="B43" s="266" t="s">
        <v>1819</v>
      </c>
      <c r="C43" s="261" t="s">
        <v>1804</v>
      </c>
      <c r="D43" s="262" t="s">
        <v>1805</v>
      </c>
      <c r="E43" s="263">
        <v>360</v>
      </c>
      <c r="F43" s="265">
        <v>23</v>
      </c>
      <c r="G43" s="244">
        <f t="shared" si="1"/>
        <v>8280</v>
      </c>
    </row>
    <row r="44" spans="1:7" s="58" customFormat="1" ht="15.75">
      <c r="B44" s="266" t="s">
        <v>1812</v>
      </c>
      <c r="C44" s="271" t="s">
        <v>1804</v>
      </c>
      <c r="D44" s="272" t="s">
        <v>1805</v>
      </c>
      <c r="E44" s="263">
        <v>480</v>
      </c>
      <c r="F44" s="265">
        <v>54</v>
      </c>
      <c r="G44" s="244">
        <f t="shared" si="1"/>
        <v>25920</v>
      </c>
    </row>
    <row r="45" spans="1:7" ht="15.75">
      <c r="B45" s="286" t="s">
        <v>1807</v>
      </c>
      <c r="C45" s="333" t="s">
        <v>1804</v>
      </c>
      <c r="D45" s="571" t="s">
        <v>1805</v>
      </c>
      <c r="E45" s="285">
        <v>275</v>
      </c>
      <c r="F45" s="285">
        <v>17.5</v>
      </c>
      <c r="G45" s="244">
        <f t="shared" si="1"/>
        <v>4812.5</v>
      </c>
    </row>
    <row r="46" spans="1:7" s="324" customFormat="1" ht="19.5">
      <c r="B46" s="286" t="s">
        <v>1823</v>
      </c>
      <c r="C46" s="333" t="s">
        <v>1824</v>
      </c>
      <c r="D46" s="571" t="s">
        <v>1825</v>
      </c>
      <c r="E46" s="285">
        <v>7920</v>
      </c>
      <c r="F46" s="285">
        <v>5.3</v>
      </c>
      <c r="G46" s="244">
        <f t="shared" si="1"/>
        <v>41976</v>
      </c>
    </row>
    <row r="47" spans="1:7" ht="15.75">
      <c r="B47" s="286" t="s">
        <v>1829</v>
      </c>
      <c r="C47" s="333" t="s">
        <v>1830</v>
      </c>
      <c r="D47" s="571" t="s">
        <v>1831</v>
      </c>
      <c r="E47" s="285">
        <v>1200</v>
      </c>
      <c r="F47" s="285">
        <v>70</v>
      </c>
      <c r="G47" s="244">
        <f t="shared" si="1"/>
        <v>84000</v>
      </c>
    </row>
    <row r="48" spans="1:7" ht="15.75">
      <c r="B48" s="286" t="s">
        <v>1859</v>
      </c>
      <c r="C48" s="333" t="s">
        <v>1855</v>
      </c>
      <c r="D48" s="571" t="s">
        <v>1856</v>
      </c>
      <c r="E48" s="285">
        <v>270</v>
      </c>
      <c r="F48" s="285">
        <v>140</v>
      </c>
      <c r="G48" s="244">
        <f t="shared" si="1"/>
        <v>37800</v>
      </c>
    </row>
    <row r="49" spans="2:7" ht="15.75">
      <c r="B49" s="286" t="s">
        <v>1813</v>
      </c>
      <c r="C49" s="333" t="s">
        <v>1814</v>
      </c>
      <c r="D49" s="571" t="s">
        <v>1815</v>
      </c>
      <c r="E49" s="285">
        <v>130</v>
      </c>
      <c r="F49" s="285">
        <v>90</v>
      </c>
      <c r="G49" s="244">
        <f t="shared" si="1"/>
        <v>11700</v>
      </c>
    </row>
    <row r="50" spans="2:7" ht="15.75">
      <c r="B50" s="286" t="s">
        <v>1816</v>
      </c>
      <c r="C50" s="333" t="s">
        <v>1817</v>
      </c>
      <c r="D50" s="571" t="s">
        <v>1818</v>
      </c>
      <c r="E50" s="285">
        <f>7440*0.7</f>
        <v>5208</v>
      </c>
      <c r="F50" s="815">
        <v>34.371400000000001</v>
      </c>
      <c r="G50" s="244">
        <f>E50*F50</f>
        <v>179006.2512</v>
      </c>
    </row>
    <row r="51" spans="2:7" ht="15.75">
      <c r="B51" s="286" t="s">
        <v>1835</v>
      </c>
      <c r="C51" s="333" t="s">
        <v>1836</v>
      </c>
      <c r="D51" s="571" t="s">
        <v>1835</v>
      </c>
      <c r="E51" s="285">
        <v>720</v>
      </c>
      <c r="F51" s="285">
        <v>30</v>
      </c>
      <c r="G51" s="244">
        <f t="shared" si="1"/>
        <v>21600</v>
      </c>
    </row>
    <row r="52" spans="2:7" s="284" customFormat="1" ht="15.75">
      <c r="B52" s="329"/>
      <c r="C52" s="335"/>
      <c r="D52" s="575"/>
      <c r="E52" s="287"/>
      <c r="F52" s="287"/>
      <c r="G52" s="289">
        <f>SUM(G18:G51)</f>
        <v>974892.25120000006</v>
      </c>
    </row>
    <row r="53" spans="2:7">
      <c r="B53" s="568"/>
      <c r="C53" s="569"/>
      <c r="D53" s="570"/>
      <c r="E53" s="574"/>
      <c r="F53" s="574"/>
      <c r="G53" s="574"/>
    </row>
  </sheetData>
  <phoneticPr fontId="55" type="noConversion"/>
  <hyperlinks>
    <hyperlink ref="C18" r:id="rId1" tooltip="Дерево коду 15510000-6" display="https://ezs.dkpp.rv.ua/index.php?search=15510000-6&amp;type=code"/>
    <hyperlink ref="D18" r:id="rId2" display="https://ezs.dkpp.rv.ua/index.php?level=15510000-6"/>
    <hyperlink ref="C33" r:id="rId3" tooltip="Дерево коду 03220000-9" display="https://ezs.dkpp.rv.ua/index.php?search=03220000-9&amp;type=code"/>
    <hyperlink ref="D33" r:id="rId4" display="https://ezs.dkpp.rv.ua/index.php?level=03220000-9"/>
    <hyperlink ref="C36" r:id="rId5" tooltip="Дерево коду 15610000-7" display="https://ezs.dkpp.rv.ua/index.php?search=15610000-7&amp;type=code"/>
    <hyperlink ref="D36" r:id="rId6" display="https://ezs.dkpp.rv.ua/index.php?level=15610000-7"/>
    <hyperlink ref="C37" r:id="rId7" tooltip="Дерево коду 15610000-7" display="https://ezs.dkpp.rv.ua/index.php?search=15610000-7&amp;type=code"/>
    <hyperlink ref="D37" r:id="rId8" display="https://ezs.dkpp.rv.ua/index.php?level=15610000-7"/>
    <hyperlink ref="C43" r:id="rId9" tooltip="Дерево коду 15610000-7" display="https://ezs.dkpp.rv.ua/index.php?search=15610000-7&amp;type=code"/>
    <hyperlink ref="C40" r:id="rId10" tooltip="Дерево коду 15610000-7" display="https://ezs.dkpp.rv.ua/index.php?search=15610000-7&amp;type=code"/>
    <hyperlink ref="D40" r:id="rId11" display="https://ezs.dkpp.rv.ua/index.php?level=15610000-7"/>
    <hyperlink ref="C27" r:id="rId12" tooltip="Дерево коду 15850000-1" display="https://ezs.dkpp.rv.ua/index.php?search=15850000-1&amp;type=code"/>
    <hyperlink ref="D27" r:id="rId13" display="https://ezs.dkpp.rv.ua/index.php?level=15850000-1"/>
    <hyperlink ref="D42" r:id="rId14" display="https://ezs.dkpp.rv.ua/index.php?level=15610000-7"/>
    <hyperlink ref="C42" r:id="rId15" tooltip="Дерево коду 15610000-7" display="https://ezs.dkpp.rv.ua/index.php?search=15610000-7&amp;type=code"/>
    <hyperlink ref="D44" r:id="rId16" display="https://prozorro.gov.ua/tender/UA-2021-04-09-007264-a"/>
    <hyperlink ref="C23" r:id="rId17" tooltip="Дерево коду 15860000-4" display="https://ezs.dkpp.rv.ua/index.php?search=15860000-4&amp;type=code"/>
    <hyperlink ref="D23" r:id="rId18" display="https://ezs.dkpp.rv.ua/index.php?level=15860000-4"/>
    <hyperlink ref="C29" r:id="rId19" tooltip="Дерево коду 03220000-9" display="https://ezs.dkpp.rv.ua/index.php?search=03220000-9&amp;type=code"/>
    <hyperlink ref="D29" r:id="rId20" display="https://ezs.dkpp.rv.ua/index.php?level=03220000-9"/>
    <hyperlink ref="C31" r:id="rId21" tooltip="Дерево коду 03220000-9" display="https://ezs.dkpp.rv.ua/index.php?search=03220000-9&amp;type=code"/>
    <hyperlink ref="D31" r:id="rId22" display="https://ezs.dkpp.rv.ua/index.php?level=03220000-9"/>
    <hyperlink ref="C39" r:id="rId23" tooltip="Дерево коду 15610000-7" display="https://ezs.dkpp.rv.ua/index.php?search=15610000-7&amp;type=code"/>
    <hyperlink ref="D39" r:id="rId24" display="https://ezs.dkpp.rv.ua/index.php?level=15610000-7"/>
    <hyperlink ref="C34" r:id="rId25" tooltip="Дерево коду 15890000-3" display="https://ezs.dkpp.rv.ua/index.php?search=15890000-3&amp;type=code"/>
    <hyperlink ref="D34" r:id="rId26" display="https://ezs.dkpp.rv.ua/index.php?level=15890000-3"/>
    <hyperlink ref="C28" r:id="rId27" tooltip="Дерево коду 15330000-0" display="https://ezs.dkpp.rv.ua/index.php?search=15330000-0&amp;type=code"/>
    <hyperlink ref="D28" r:id="rId28" display="https://ezs.dkpp.rv.ua/index.php?level=15330000-0"/>
    <hyperlink ref="C38" r:id="rId29" tooltip="Дерево коду 15610000-7" display="https://ezs.dkpp.rv.ua/index.php?search=15610000-7&amp;type=code"/>
    <hyperlink ref="D38" r:id="rId30" display="https://ezs.dkpp.rv.ua/index.php?level=15610000-7"/>
    <hyperlink ref="C30" r:id="rId31" tooltip="Дерево коду 03220000-9" display="https://ezs.dkpp.rv.ua/index.php?search=03220000-9&amp;type=code"/>
    <hyperlink ref="D30" r:id="rId32" display="https://ezs.dkpp.rv.ua/index.php?level=03220000-9"/>
  </hyperlinks>
  <pageMargins left="0" right="0" top="0" bottom="0" header="0" footer="0"/>
  <pageSetup paperSize="9" scale="64" fitToHeight="10" orientation="landscape" r:id="rId3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49"/>
  <sheetViews>
    <sheetView view="pageBreakPreview" zoomScale="75" zoomScaleNormal="50" zoomScaleSheetLayoutView="75" workbookViewId="0">
      <selection activeCell="K43" sqref="K43"/>
    </sheetView>
  </sheetViews>
  <sheetFormatPr defaultRowHeight="15"/>
  <cols>
    <col min="1" max="1" width="17.42578125" style="79" customWidth="1"/>
    <col min="2" max="2" width="66.5703125" customWidth="1"/>
    <col min="3" max="14" width="15.140625" customWidth="1"/>
    <col min="15" max="15" width="18" customWidth="1"/>
    <col min="16" max="16" width="13.42578125" bestFit="1" customWidth="1"/>
    <col min="17" max="17" width="14.85546875" bestFit="1" customWidth="1"/>
    <col min="18" max="18" width="9.140625" style="79"/>
  </cols>
  <sheetData>
    <row r="1" spans="1:18" ht="18.75">
      <c r="B1" s="303"/>
      <c r="C1" s="304" t="s">
        <v>1227</v>
      </c>
      <c r="D1" s="304" t="s">
        <v>1375</v>
      </c>
      <c r="E1" s="304" t="s">
        <v>1376</v>
      </c>
      <c r="F1" s="304" t="s">
        <v>1377</v>
      </c>
      <c r="G1" s="304" t="s">
        <v>1378</v>
      </c>
      <c r="H1" s="304" t="s">
        <v>1379</v>
      </c>
      <c r="I1" s="304" t="s">
        <v>1228</v>
      </c>
      <c r="J1" s="304" t="s">
        <v>1381</v>
      </c>
      <c r="K1" s="304" t="s">
        <v>1382</v>
      </c>
      <c r="L1" s="304" t="s">
        <v>1383</v>
      </c>
      <c r="M1" s="304" t="s">
        <v>1384</v>
      </c>
      <c r="N1" s="304" t="s">
        <v>1385</v>
      </c>
      <c r="O1" s="304">
        <v>2025</v>
      </c>
    </row>
    <row r="2" spans="1:18" ht="18.75" hidden="1">
      <c r="B2" s="305" t="s">
        <v>1237</v>
      </c>
      <c r="C2" s="306">
        <f>SUM(C3,C4,C5,C6,C7,C8)</f>
        <v>0</v>
      </c>
      <c r="D2" s="306">
        <f t="shared" ref="D2:N2" si="0">SUM(D3,D4,D5,D6,D7,D8)</f>
        <v>0</v>
      </c>
      <c r="E2" s="306">
        <f>SUM(E3,E4,E5,E6,E7,E8)</f>
        <v>0</v>
      </c>
      <c r="F2" s="306">
        <f t="shared" si="0"/>
        <v>0</v>
      </c>
      <c r="G2" s="306">
        <f t="shared" si="0"/>
        <v>0</v>
      </c>
      <c r="H2" s="306">
        <f t="shared" si="0"/>
        <v>0</v>
      </c>
      <c r="I2" s="306">
        <f>SUM(I3,I4,I5,I6,I7,I8)</f>
        <v>0</v>
      </c>
      <c r="J2" s="306">
        <f t="shared" si="0"/>
        <v>0</v>
      </c>
      <c r="K2" s="306">
        <f t="shared" si="0"/>
        <v>0</v>
      </c>
      <c r="L2" s="306">
        <f t="shared" si="0"/>
        <v>0</v>
      </c>
      <c r="M2" s="306">
        <f t="shared" si="0"/>
        <v>0</v>
      </c>
      <c r="N2" s="306">
        <f t="shared" si="0"/>
        <v>0</v>
      </c>
      <c r="O2" s="306">
        <f>SUM(O3,O4,O5,O6,O7,O8)</f>
        <v>0</v>
      </c>
      <c r="Q2" s="579"/>
    </row>
    <row r="3" spans="1:18" ht="18.75" hidden="1">
      <c r="B3" s="307" t="s">
        <v>1238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>
        <f>SUM(C3:N3)</f>
        <v>0</v>
      </c>
      <c r="Q3" s="579"/>
    </row>
    <row r="4" spans="1:18" ht="18.75" hidden="1">
      <c r="B4" s="307" t="s">
        <v>1239</v>
      </c>
      <c r="C4" s="308"/>
      <c r="D4" s="316"/>
      <c r="E4" s="316"/>
      <c r="F4" s="308"/>
      <c r="G4" s="308"/>
      <c r="H4" s="308"/>
      <c r="I4" s="308"/>
      <c r="J4" s="308"/>
      <c r="K4" s="308"/>
      <c r="L4" s="308"/>
      <c r="M4" s="308"/>
      <c r="N4" s="308"/>
      <c r="O4" s="308">
        <f t="shared" ref="O4:O9" si="1">SUM(C4:N4)</f>
        <v>0</v>
      </c>
      <c r="Q4" s="579"/>
    </row>
    <row r="5" spans="1:18" ht="18.75" hidden="1">
      <c r="B5" s="307" t="s">
        <v>1240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>
        <f t="shared" si="1"/>
        <v>0</v>
      </c>
      <c r="Q5" s="579"/>
    </row>
    <row r="6" spans="1:18" s="584" customFormat="1" ht="18.75" hidden="1">
      <c r="A6" s="580"/>
      <c r="B6" s="588" t="s">
        <v>1241</v>
      </c>
      <c r="C6" s="566"/>
      <c r="D6" s="566"/>
      <c r="E6" s="566"/>
      <c r="F6" s="583"/>
      <c r="G6" s="583"/>
      <c r="H6" s="583"/>
      <c r="I6" s="583"/>
      <c r="J6" s="583"/>
      <c r="K6" s="583"/>
      <c r="L6" s="583"/>
      <c r="M6" s="583"/>
      <c r="N6" s="583"/>
      <c r="O6" s="566">
        <f>SUM(C6:N6)</f>
        <v>0</v>
      </c>
      <c r="P6"/>
      <c r="Q6" s="579"/>
      <c r="R6" s="580"/>
    </row>
    <row r="7" spans="1:18" ht="37.5" hidden="1">
      <c r="B7" s="307" t="s">
        <v>485</v>
      </c>
      <c r="C7" s="308"/>
      <c r="D7" s="308"/>
      <c r="E7" s="308"/>
      <c r="F7" s="577"/>
      <c r="G7" s="577"/>
      <c r="H7" s="577"/>
      <c r="I7" s="577"/>
      <c r="J7" s="577"/>
      <c r="K7" s="577"/>
      <c r="L7" s="577"/>
      <c r="M7" s="577"/>
      <c r="N7" s="577"/>
      <c r="O7" s="308">
        <f t="shared" si="1"/>
        <v>0</v>
      </c>
      <c r="Q7" s="579"/>
    </row>
    <row r="8" spans="1:18" s="592" customFormat="1" ht="18.75" hidden="1">
      <c r="A8" s="589"/>
      <c r="B8" s="590" t="s">
        <v>1242</v>
      </c>
      <c r="C8" s="591"/>
      <c r="D8" s="591"/>
      <c r="E8" s="591"/>
      <c r="F8" s="576"/>
      <c r="G8" s="576"/>
      <c r="H8" s="576"/>
      <c r="I8" s="576"/>
      <c r="J8" s="576"/>
      <c r="K8" s="576"/>
      <c r="L8" s="576"/>
      <c r="M8" s="576"/>
      <c r="N8" s="576"/>
      <c r="O8" s="591">
        <f>SUM(C8:N8)</f>
        <v>0</v>
      </c>
      <c r="P8"/>
      <c r="Q8" s="579"/>
      <c r="R8" s="589"/>
    </row>
    <row r="9" spans="1:18" ht="18.75" hidden="1">
      <c r="B9" s="309" t="s">
        <v>1243</v>
      </c>
      <c r="C9" s="308"/>
      <c r="D9" s="308"/>
      <c r="E9" s="308"/>
      <c r="F9" s="577"/>
      <c r="G9" s="577"/>
      <c r="H9" s="577"/>
      <c r="I9" s="577"/>
      <c r="J9" s="577"/>
      <c r="K9" s="577"/>
      <c r="L9" s="577"/>
      <c r="M9" s="577"/>
      <c r="N9" s="577"/>
      <c r="O9" s="308">
        <f t="shared" si="1"/>
        <v>0</v>
      </c>
      <c r="Q9" s="579"/>
    </row>
    <row r="10" spans="1:18" ht="18.75">
      <c r="B10" s="310" t="s">
        <v>486</v>
      </c>
      <c r="C10" s="306">
        <f>SUM(C11,C12,C13,C14,C15,C21,C22,C23,C24,C25,C26,C27,C28,C29,C31,C30)</f>
        <v>11810</v>
      </c>
      <c r="D10" s="306">
        <f>SUM(D11,D12,D13,D14,D15,D21,D22,D23,D24,D25,D26,D27,D28,D29,D31,D30)</f>
        <v>47948.369999999995</v>
      </c>
      <c r="E10" s="306">
        <f>SUM(E11,E12,E13,E14,E15,E21,E22,E23,E24,E25,E26,E27,E28,E29,E31,E30)</f>
        <v>56158.840000000004</v>
      </c>
      <c r="F10" s="306">
        <f t="shared" ref="F10:M10" si="2">SUM(F11,F12,F13,F14,F15,F21,F22,F23,F24,F25,F26,F27,F28,F29,F31,F30)</f>
        <v>75739.850000000006</v>
      </c>
      <c r="G10" s="306">
        <f>SUM(G11,G12,G13,G14,G15,G21,G22,G23,G24,G25,G26,G27,G28,G29,G31,G30)</f>
        <v>65194.479999999996</v>
      </c>
      <c r="H10" s="306">
        <f t="shared" si="2"/>
        <v>76424.48000000001</v>
      </c>
      <c r="I10" s="306">
        <f t="shared" si="2"/>
        <v>70064.479999999996</v>
      </c>
      <c r="J10" s="306">
        <f t="shared" si="2"/>
        <v>64344.479999999996</v>
      </c>
      <c r="K10" s="306">
        <f t="shared" si="2"/>
        <v>76424.48000000001</v>
      </c>
      <c r="L10" s="306">
        <f t="shared" si="2"/>
        <v>64344.479999999996</v>
      </c>
      <c r="M10" s="306">
        <f t="shared" si="2"/>
        <v>64344.479999999996</v>
      </c>
      <c r="N10" s="306">
        <f>SUM(N11,N12,N13,N14,N15,N21,N22,N23,N24,N25,N26,N27,N28,N29,N31,N30)</f>
        <v>76085.48000000001</v>
      </c>
      <c r="O10" s="306">
        <f>SUM(O11,O12,O13,O14,O15,O21,O22,O23,O24,O25,O26,O27,O28,O29,O31,O30)</f>
        <v>748883.89999999991</v>
      </c>
      <c r="Q10" s="579"/>
    </row>
    <row r="11" spans="1:18" ht="18.75" hidden="1">
      <c r="B11" s="311" t="s">
        <v>1470</v>
      </c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>
        <f>SUM(C11:N11)</f>
        <v>0</v>
      </c>
      <c r="Q11" s="579"/>
    </row>
    <row r="12" spans="1:18" s="584" customFormat="1" ht="37.5" hidden="1">
      <c r="A12" s="580"/>
      <c r="B12" s="565" t="s">
        <v>1244</v>
      </c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>
        <f>SUM(C12:N12)</f>
        <v>0</v>
      </c>
      <c r="P12"/>
      <c r="Q12" s="579"/>
      <c r="R12" s="580"/>
    </row>
    <row r="13" spans="1:18" ht="18.75" hidden="1">
      <c r="B13" s="313" t="s">
        <v>1245</v>
      </c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>
        <f t="shared" ref="O13:O30" si="3">SUM(C13:N13)</f>
        <v>0</v>
      </c>
      <c r="Q13" s="579"/>
    </row>
    <row r="14" spans="1:18" ht="18.75" hidden="1">
      <c r="B14" s="313" t="s">
        <v>1246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>
        <f t="shared" si="3"/>
        <v>0</v>
      </c>
      <c r="Q14" s="579"/>
    </row>
    <row r="15" spans="1:18" ht="19.5">
      <c r="B15" s="314" t="s">
        <v>1247</v>
      </c>
      <c r="C15" s="315">
        <f>SUM(C16,C17,C18,C19,C20)</f>
        <v>3000</v>
      </c>
      <c r="D15" s="315">
        <f>SUM(D16,D17,D18,D19,D20)</f>
        <v>6800</v>
      </c>
      <c r="E15" s="315">
        <f t="shared" ref="E15:N15" si="4">SUM(E16,E17,E18,E19,E20)</f>
        <v>13490</v>
      </c>
      <c r="F15" s="315">
        <f>SUM(F16,F17,F18,F19,F20)</f>
        <v>6479.4699999999993</v>
      </c>
      <c r="G15" s="315">
        <f t="shared" si="4"/>
        <v>22503.112499999999</v>
      </c>
      <c r="H15" s="315">
        <f t="shared" si="4"/>
        <v>33733.112500000003</v>
      </c>
      <c r="I15" s="315">
        <f t="shared" si="4"/>
        <v>27373.112499999999</v>
      </c>
      <c r="J15" s="315">
        <f t="shared" si="4"/>
        <v>21653.112499999999</v>
      </c>
      <c r="K15" s="315">
        <f t="shared" si="4"/>
        <v>33733.112500000003</v>
      </c>
      <c r="L15" s="315">
        <f t="shared" si="4"/>
        <v>21653.112499999999</v>
      </c>
      <c r="M15" s="315">
        <f t="shared" si="4"/>
        <v>21653.112499999999</v>
      </c>
      <c r="N15" s="315">
        <f t="shared" si="4"/>
        <v>33733.112500000003</v>
      </c>
      <c r="O15" s="315">
        <f>SUM(O16,O17,O18,O19,O20)</f>
        <v>245804.37</v>
      </c>
      <c r="Q15" s="579"/>
    </row>
    <row r="16" spans="1:18" s="584" customFormat="1" ht="18.75">
      <c r="A16" s="580"/>
      <c r="B16" s="786" t="s">
        <v>1248</v>
      </c>
      <c r="C16" s="787"/>
      <c r="D16" s="788"/>
      <c r="E16" s="788">
        <f>6360</f>
        <v>6360</v>
      </c>
      <c r="F16" s="789"/>
      <c r="G16" s="789"/>
      <c r="H16" s="789">
        <v>12080</v>
      </c>
      <c r="I16" s="789">
        <f>5720</f>
        <v>5720</v>
      </c>
      <c r="J16" s="789"/>
      <c r="K16" s="789">
        <v>12080</v>
      </c>
      <c r="L16" s="789"/>
      <c r="M16" s="789"/>
      <c r="N16" s="789">
        <v>12080</v>
      </c>
      <c r="O16" s="787">
        <f>SUM(C16:N16)</f>
        <v>48320</v>
      </c>
      <c r="P16"/>
      <c r="Q16" s="579"/>
      <c r="R16" s="580"/>
    </row>
    <row r="17" spans="1:18" s="584" customFormat="1" ht="18.75">
      <c r="A17" s="580"/>
      <c r="B17" s="786" t="s">
        <v>1249</v>
      </c>
      <c r="C17" s="787">
        <v>3000</v>
      </c>
      <c r="D17" s="788">
        <v>6200</v>
      </c>
      <c r="E17" s="788">
        <v>3800</v>
      </c>
      <c r="F17" s="789">
        <v>6119.4699999999993</v>
      </c>
      <c r="G17" s="789">
        <f>74728.9/8</f>
        <v>9341.1124999999993</v>
      </c>
      <c r="H17" s="789">
        <f>G17</f>
        <v>9341.1124999999993</v>
      </c>
      <c r="I17" s="789">
        <f t="shared" ref="I17:N17" si="5">H17</f>
        <v>9341.1124999999993</v>
      </c>
      <c r="J17" s="789">
        <f t="shared" si="5"/>
        <v>9341.1124999999993</v>
      </c>
      <c r="K17" s="789">
        <f t="shared" si="5"/>
        <v>9341.1124999999993</v>
      </c>
      <c r="L17" s="789">
        <f t="shared" si="5"/>
        <v>9341.1124999999993</v>
      </c>
      <c r="M17" s="789">
        <f t="shared" si="5"/>
        <v>9341.1124999999993</v>
      </c>
      <c r="N17" s="789">
        <f t="shared" si="5"/>
        <v>9341.1124999999993</v>
      </c>
      <c r="O17" s="787">
        <f t="shared" si="3"/>
        <v>93848.37000000001</v>
      </c>
      <c r="P17"/>
      <c r="Q17" s="579"/>
      <c r="R17" s="580"/>
    </row>
    <row r="18" spans="1:18" ht="18.75">
      <c r="B18" s="786" t="s">
        <v>1250</v>
      </c>
      <c r="C18" s="787"/>
      <c r="D18" s="788"/>
      <c r="E18" s="788"/>
      <c r="F18" s="789"/>
      <c r="G18" s="789"/>
      <c r="H18" s="789"/>
      <c r="I18" s="789"/>
      <c r="J18" s="789"/>
      <c r="K18" s="789"/>
      <c r="L18" s="789"/>
      <c r="M18" s="789"/>
      <c r="N18" s="789"/>
      <c r="O18" s="787">
        <f t="shared" si="3"/>
        <v>0</v>
      </c>
      <c r="Q18" s="579"/>
    </row>
    <row r="19" spans="1:18" ht="18.75">
      <c r="B19" s="786" t="s">
        <v>487</v>
      </c>
      <c r="C19" s="787"/>
      <c r="D19" s="788"/>
      <c r="E19" s="788"/>
      <c r="F19" s="789"/>
      <c r="G19" s="789"/>
      <c r="H19" s="789"/>
      <c r="I19" s="789"/>
      <c r="J19" s="789"/>
      <c r="K19" s="789"/>
      <c r="L19" s="789"/>
      <c r="M19" s="789"/>
      <c r="N19" s="789"/>
      <c r="O19" s="787">
        <f t="shared" si="3"/>
        <v>0</v>
      </c>
      <c r="Q19" s="579"/>
    </row>
    <row r="20" spans="1:18" s="584" customFormat="1" ht="18.75">
      <c r="A20" s="580"/>
      <c r="B20" s="786" t="s">
        <v>1251</v>
      </c>
      <c r="C20" s="787"/>
      <c r="D20" s="788">
        <f>300+300</f>
        <v>600</v>
      </c>
      <c r="E20" s="788">
        <f>3030+300</f>
        <v>3330</v>
      </c>
      <c r="F20" s="789">
        <f>360</f>
        <v>360</v>
      </c>
      <c r="G20" s="789">
        <f>12312+850</f>
        <v>13162</v>
      </c>
      <c r="H20" s="789">
        <v>12312</v>
      </c>
      <c r="I20" s="789">
        <v>12312</v>
      </c>
      <c r="J20" s="789">
        <v>12312</v>
      </c>
      <c r="K20" s="789">
        <v>12312</v>
      </c>
      <c r="L20" s="789">
        <v>12312</v>
      </c>
      <c r="M20" s="789">
        <v>12312</v>
      </c>
      <c r="N20" s="789">
        <v>12312</v>
      </c>
      <c r="O20" s="787">
        <f>SUM(C20:N20)</f>
        <v>103636</v>
      </c>
      <c r="P20"/>
      <c r="Q20" s="579"/>
      <c r="R20" s="580"/>
    </row>
    <row r="21" spans="1:18" s="584" customFormat="1" ht="19.5">
      <c r="A21" s="580"/>
      <c r="B21" s="587" t="s">
        <v>1252</v>
      </c>
      <c r="C21" s="566">
        <f>800</f>
        <v>800</v>
      </c>
      <c r="D21" s="586">
        <f>800+571.85</f>
        <v>1371.85</v>
      </c>
      <c r="E21" s="586">
        <f>800+823.44</f>
        <v>1623.44</v>
      </c>
      <c r="F21" s="582">
        <f>1765.46+379.36</f>
        <v>2144.8200000000002</v>
      </c>
      <c r="G21" s="582">
        <v>2054.96</v>
      </c>
      <c r="H21" s="582">
        <v>2054.96</v>
      </c>
      <c r="I21" s="582">
        <v>2054.96</v>
      </c>
      <c r="J21" s="582">
        <v>2054.96</v>
      </c>
      <c r="K21" s="582">
        <v>2054.96</v>
      </c>
      <c r="L21" s="582">
        <v>2054.96</v>
      </c>
      <c r="M21" s="582">
        <v>2054.96</v>
      </c>
      <c r="N21" s="582">
        <v>1715.96</v>
      </c>
      <c r="O21" s="566">
        <f>SUM(C21:N21)</f>
        <v>22040.789999999997</v>
      </c>
      <c r="P21"/>
      <c r="Q21" s="579"/>
      <c r="R21" s="580"/>
    </row>
    <row r="22" spans="1:18" s="584" customFormat="1" ht="19.5">
      <c r="A22" s="580"/>
      <c r="B22" s="587" t="s">
        <v>1253</v>
      </c>
      <c r="C22" s="566"/>
      <c r="D22" s="586"/>
      <c r="E22" s="586">
        <f>18576+2256-20832</f>
        <v>0</v>
      </c>
      <c r="F22" s="582">
        <f>12642+36851</f>
        <v>49493</v>
      </c>
      <c r="G22" s="582">
        <v>7546.5</v>
      </c>
      <c r="H22" s="582">
        <v>7546.5</v>
      </c>
      <c r="I22" s="582">
        <v>7546.5</v>
      </c>
      <c r="J22" s="582">
        <v>7546.5</v>
      </c>
      <c r="K22" s="582">
        <v>7546.5</v>
      </c>
      <c r="L22" s="582">
        <v>7546.5</v>
      </c>
      <c r="M22" s="582">
        <v>7546.5</v>
      </c>
      <c r="N22" s="582">
        <v>7546.5</v>
      </c>
      <c r="O22" s="566">
        <f>SUM(C22:N22)</f>
        <v>109865</v>
      </c>
      <c r="P22"/>
      <c r="Q22" s="579"/>
      <c r="R22" s="585"/>
    </row>
    <row r="23" spans="1:18" s="584" customFormat="1" ht="19.5">
      <c r="A23" s="580"/>
      <c r="B23" s="581" t="s">
        <v>1254</v>
      </c>
      <c r="C23" s="566">
        <f>1980+810</f>
        <v>2790</v>
      </c>
      <c r="D23" s="566">
        <f>1980+810</f>
        <v>2790</v>
      </c>
      <c r="E23" s="566">
        <f>1980+810+240</f>
        <v>3030</v>
      </c>
      <c r="F23" s="582">
        <f>2870</f>
        <v>2870</v>
      </c>
      <c r="G23" s="583">
        <f>F23</f>
        <v>2870</v>
      </c>
      <c r="H23" s="583">
        <f t="shared" ref="H23:N23" si="6">G23</f>
        <v>2870</v>
      </c>
      <c r="I23" s="583">
        <f t="shared" si="6"/>
        <v>2870</v>
      </c>
      <c r="J23" s="583">
        <f t="shared" si="6"/>
        <v>2870</v>
      </c>
      <c r="K23" s="583">
        <f t="shared" si="6"/>
        <v>2870</v>
      </c>
      <c r="L23" s="583">
        <f t="shared" si="6"/>
        <v>2870</v>
      </c>
      <c r="M23" s="583">
        <f t="shared" si="6"/>
        <v>2870</v>
      </c>
      <c r="N23" s="583">
        <f t="shared" si="6"/>
        <v>2870</v>
      </c>
      <c r="O23" s="566">
        <f>SUM(C23:N23)</f>
        <v>34440</v>
      </c>
      <c r="P23"/>
      <c r="Q23" s="579"/>
      <c r="R23" s="585"/>
    </row>
    <row r="24" spans="1:18" s="584" customFormat="1" ht="19.5">
      <c r="A24" s="580"/>
      <c r="B24" s="581" t="s">
        <v>1255</v>
      </c>
      <c r="C24" s="566">
        <f>220</f>
        <v>220</v>
      </c>
      <c r="D24" s="586">
        <f>220</f>
        <v>220</v>
      </c>
      <c r="E24" s="586">
        <f>220</f>
        <v>220</v>
      </c>
      <c r="F24" s="582">
        <v>220</v>
      </c>
      <c r="G24" s="583">
        <v>220</v>
      </c>
      <c r="H24" s="583">
        <v>220</v>
      </c>
      <c r="I24" s="583">
        <v>220</v>
      </c>
      <c r="J24" s="583">
        <v>220</v>
      </c>
      <c r="K24" s="583">
        <v>220</v>
      </c>
      <c r="L24" s="583">
        <v>220</v>
      </c>
      <c r="M24" s="583">
        <v>220</v>
      </c>
      <c r="N24" s="583">
        <v>220</v>
      </c>
      <c r="O24" s="566">
        <f>SUM(C24:N24)</f>
        <v>2640</v>
      </c>
      <c r="P24"/>
      <c r="Q24" s="579"/>
      <c r="R24" s="580"/>
    </row>
    <row r="25" spans="1:18" ht="19.5" hidden="1">
      <c r="B25" s="318" t="s">
        <v>1256</v>
      </c>
      <c r="C25" s="308"/>
      <c r="D25" s="316"/>
      <c r="E25" s="316"/>
      <c r="F25" s="578"/>
      <c r="G25" s="578"/>
      <c r="H25" s="578"/>
      <c r="I25" s="578"/>
      <c r="J25" s="578"/>
      <c r="K25" s="578"/>
      <c r="L25" s="578"/>
      <c r="M25" s="578"/>
      <c r="N25" s="578"/>
      <c r="O25" s="308">
        <f t="shared" si="3"/>
        <v>0</v>
      </c>
      <c r="Q25" s="579"/>
    </row>
    <row r="26" spans="1:18" ht="19.5" hidden="1">
      <c r="B26" s="318" t="s">
        <v>1257</v>
      </c>
      <c r="C26" s="308"/>
      <c r="D26" s="316"/>
      <c r="E26" s="316"/>
      <c r="F26" s="578"/>
      <c r="G26" s="578"/>
      <c r="H26" s="578"/>
      <c r="I26" s="578"/>
      <c r="J26" s="578"/>
      <c r="K26" s="578"/>
      <c r="L26" s="578"/>
      <c r="M26" s="578"/>
      <c r="N26" s="578"/>
      <c r="O26" s="308">
        <f t="shared" si="3"/>
        <v>0</v>
      </c>
      <c r="Q26" s="579"/>
    </row>
    <row r="27" spans="1:18" s="584" customFormat="1" ht="19.5">
      <c r="A27" s="580"/>
      <c r="B27" s="587" t="s">
        <v>488</v>
      </c>
      <c r="C27" s="566">
        <v>5000</v>
      </c>
      <c r="D27" s="586">
        <f>1441.56+20973+1800+1400+1125+3600+600+6897+576-1646.04</f>
        <v>36766.519999999997</v>
      </c>
      <c r="E27" s="586">
        <f>13730.4+1125+4074+12000+3450+920+2100+300+5016+15000-240-19680</f>
        <v>37795.4</v>
      </c>
      <c r="F27" s="582">
        <v>12230</v>
      </c>
      <c r="G27" s="582">
        <f>239999.26/8</f>
        <v>29999.907500000001</v>
      </c>
      <c r="H27" s="582">
        <f>G27</f>
        <v>29999.907500000001</v>
      </c>
      <c r="I27" s="582">
        <f t="shared" ref="I27:N27" si="7">H27</f>
        <v>29999.907500000001</v>
      </c>
      <c r="J27" s="582">
        <f t="shared" si="7"/>
        <v>29999.907500000001</v>
      </c>
      <c r="K27" s="582">
        <f t="shared" si="7"/>
        <v>29999.907500000001</v>
      </c>
      <c r="L27" s="582">
        <f t="shared" si="7"/>
        <v>29999.907500000001</v>
      </c>
      <c r="M27" s="582">
        <f>L27</f>
        <v>29999.907500000001</v>
      </c>
      <c r="N27" s="582">
        <f t="shared" si="7"/>
        <v>29999.907500000001</v>
      </c>
      <c r="O27" s="566">
        <f>SUM(C27:N27)</f>
        <v>331791.17999999993</v>
      </c>
      <c r="P27"/>
      <c r="Q27" s="579"/>
      <c r="R27" s="580"/>
    </row>
    <row r="28" spans="1:18" ht="19.5" hidden="1">
      <c r="B28" s="319" t="s">
        <v>1258</v>
      </c>
      <c r="C28" s="308"/>
      <c r="D28" s="316"/>
      <c r="E28" s="316"/>
      <c r="F28" s="578"/>
      <c r="G28" s="578"/>
      <c r="H28" s="578"/>
      <c r="I28" s="578"/>
      <c r="J28" s="578"/>
      <c r="K28" s="578"/>
      <c r="L28" s="578"/>
      <c r="M28" s="578"/>
      <c r="N28" s="578"/>
      <c r="O28" s="308">
        <f t="shared" si="3"/>
        <v>0</v>
      </c>
      <c r="Q28" s="579"/>
    </row>
    <row r="29" spans="1:18" ht="19.5" hidden="1">
      <c r="B29" s="319" t="s">
        <v>1259</v>
      </c>
      <c r="C29" s="308"/>
      <c r="D29" s="316"/>
      <c r="E29" s="316"/>
      <c r="F29" s="578"/>
      <c r="G29" s="578"/>
      <c r="H29" s="578"/>
      <c r="I29" s="578"/>
      <c r="J29" s="578"/>
      <c r="K29" s="578"/>
      <c r="L29" s="578"/>
      <c r="M29" s="578"/>
      <c r="N29" s="578"/>
      <c r="O29" s="308">
        <f t="shared" si="3"/>
        <v>0</v>
      </c>
      <c r="Q29" s="579"/>
    </row>
    <row r="30" spans="1:18" ht="18.75" hidden="1">
      <c r="B30" s="320" t="s">
        <v>1260</v>
      </c>
      <c r="C30" s="308"/>
      <c r="D30" s="316"/>
      <c r="E30" s="316"/>
      <c r="F30" s="578"/>
      <c r="G30" s="578"/>
      <c r="H30" s="578"/>
      <c r="I30" s="578"/>
      <c r="J30" s="578"/>
      <c r="K30" s="578"/>
      <c r="L30" s="578"/>
      <c r="M30" s="578"/>
      <c r="N30" s="578"/>
      <c r="O30" s="308">
        <f t="shared" si="3"/>
        <v>0</v>
      </c>
      <c r="Q30" s="579"/>
    </row>
    <row r="31" spans="1:18" ht="19.5">
      <c r="B31" s="317" t="s">
        <v>1496</v>
      </c>
      <c r="C31" s="308"/>
      <c r="D31" s="316"/>
      <c r="E31" s="316"/>
      <c r="F31" s="316">
        <v>2302.56</v>
      </c>
      <c r="G31" s="316"/>
      <c r="H31" s="316">
        <v>0</v>
      </c>
      <c r="I31" s="316">
        <v>0</v>
      </c>
      <c r="J31" s="316">
        <v>0</v>
      </c>
      <c r="K31" s="316">
        <v>0</v>
      </c>
      <c r="L31" s="316">
        <v>0</v>
      </c>
      <c r="M31" s="316">
        <v>0</v>
      </c>
      <c r="N31" s="316">
        <v>0</v>
      </c>
      <c r="O31" s="308">
        <f>SUM(C31:N31)</f>
        <v>2302.56</v>
      </c>
      <c r="Q31" s="579"/>
    </row>
    <row r="32" spans="1:18" ht="18.75">
      <c r="B32" s="321"/>
      <c r="C32" s="306">
        <f>C10+C2</f>
        <v>11810</v>
      </c>
      <c r="D32" s="306">
        <f t="shared" ref="D32:M32" si="8">D10+D2</f>
        <v>47948.369999999995</v>
      </c>
      <c r="E32" s="306">
        <f t="shared" si="8"/>
        <v>56158.840000000004</v>
      </c>
      <c r="F32" s="306">
        <f t="shared" si="8"/>
        <v>75739.850000000006</v>
      </c>
      <c r="G32" s="306">
        <f>G10+G2</f>
        <v>65194.479999999996</v>
      </c>
      <c r="H32" s="306">
        <f t="shared" si="8"/>
        <v>76424.48000000001</v>
      </c>
      <c r="I32" s="306">
        <f t="shared" si="8"/>
        <v>70064.479999999996</v>
      </c>
      <c r="J32" s="306">
        <f t="shared" si="8"/>
        <v>64344.479999999996</v>
      </c>
      <c r="K32" s="306">
        <f t="shared" si="8"/>
        <v>76424.48000000001</v>
      </c>
      <c r="L32" s="306">
        <f t="shared" si="8"/>
        <v>64344.479999999996</v>
      </c>
      <c r="M32" s="306">
        <f t="shared" si="8"/>
        <v>64344.479999999996</v>
      </c>
      <c r="N32" s="306">
        <f>N10+N2</f>
        <v>76085.48000000001</v>
      </c>
      <c r="O32" s="306">
        <f>O10+O2</f>
        <v>748883.89999999991</v>
      </c>
      <c r="Q32" s="579"/>
    </row>
    <row r="33" spans="2:17">
      <c r="C33" s="372"/>
      <c r="D33" s="372"/>
      <c r="E33" s="372"/>
      <c r="Q33" s="579"/>
    </row>
    <row r="34" spans="2:17" ht="15.75" thickBot="1">
      <c r="C34" s="372"/>
      <c r="D34" s="372"/>
      <c r="E34" s="372"/>
      <c r="O34" s="68"/>
    </row>
    <row r="35" spans="2:17" ht="21">
      <c r="B35" s="818"/>
      <c r="C35" s="819"/>
      <c r="D35" s="797" t="s">
        <v>167</v>
      </c>
      <c r="E35" s="791"/>
      <c r="F35" s="792"/>
      <c r="G35" s="799" t="s">
        <v>127</v>
      </c>
      <c r="H35" s="792"/>
      <c r="I35" s="792"/>
      <c r="J35" s="799" t="s">
        <v>128</v>
      </c>
      <c r="K35" s="793"/>
      <c r="L35" s="793"/>
      <c r="M35" s="799" t="s">
        <v>165</v>
      </c>
      <c r="N35" s="801"/>
      <c r="O35" s="797" t="s">
        <v>1351</v>
      </c>
    </row>
    <row r="36" spans="2:17" ht="21">
      <c r="B36" s="820"/>
      <c r="C36" s="821"/>
      <c r="D36" s="798"/>
      <c r="E36" s="794"/>
      <c r="F36" s="252"/>
      <c r="G36" s="800"/>
      <c r="H36" s="252"/>
      <c r="I36" s="252"/>
      <c r="J36" s="800"/>
      <c r="K36" s="252"/>
      <c r="L36" s="252"/>
      <c r="M36" s="800"/>
      <c r="N36" s="800"/>
      <c r="O36" s="802"/>
    </row>
    <row r="37" spans="2:17" ht="21.75" thickBot="1">
      <c r="B37" s="822"/>
      <c r="C37" s="823"/>
      <c r="D37" s="811">
        <f>C32+D32+E32</f>
        <v>115917.20999999999</v>
      </c>
      <c r="E37" s="795"/>
      <c r="F37" s="796"/>
      <c r="G37" s="811">
        <f>F32+G32+H32</f>
        <v>217358.81000000003</v>
      </c>
      <c r="H37" s="812"/>
      <c r="I37" s="813"/>
      <c r="J37" s="811">
        <f>I32+J32+K32</f>
        <v>210833.44</v>
      </c>
      <c r="K37" s="812"/>
      <c r="L37" s="812"/>
      <c r="M37" s="811">
        <f>L32+M32+N32</f>
        <v>204774.44</v>
      </c>
      <c r="N37" s="814"/>
      <c r="O37" s="811">
        <f>D37+G37+J37+M37</f>
        <v>748883.89999999991</v>
      </c>
    </row>
    <row r="38" spans="2:17">
      <c r="C38" s="372"/>
      <c r="D38" s="372"/>
      <c r="E38" s="372"/>
      <c r="O38" s="372">
        <f>O32-O37</f>
        <v>0</v>
      </c>
    </row>
    <row r="39" spans="2:17">
      <c r="C39" s="372"/>
      <c r="D39" s="372"/>
      <c r="E39" s="372"/>
    </row>
    <row r="40" spans="2:17">
      <c r="C40" s="372"/>
      <c r="D40" s="372"/>
      <c r="E40" s="372"/>
    </row>
    <row r="41" spans="2:17">
      <c r="C41" s="372"/>
      <c r="D41" s="372"/>
      <c r="E41" s="372"/>
    </row>
    <row r="42" spans="2:17">
      <c r="C42" s="372"/>
      <c r="D42" s="372"/>
      <c r="E42" s="372"/>
    </row>
    <row r="43" spans="2:17">
      <c r="C43" s="372"/>
      <c r="D43" s="372"/>
      <c r="E43" s="372"/>
    </row>
    <row r="44" spans="2:17">
      <c r="C44" s="372"/>
      <c r="D44" s="372"/>
      <c r="E44" s="372"/>
    </row>
    <row r="45" spans="2:17">
      <c r="C45" s="372"/>
      <c r="D45" s="372"/>
      <c r="E45" s="372"/>
    </row>
    <row r="46" spans="2:17">
      <c r="C46" s="372"/>
      <c r="D46" s="372"/>
      <c r="E46" s="372"/>
    </row>
    <row r="47" spans="2:17">
      <c r="C47" s="372"/>
      <c r="D47" s="372"/>
      <c r="E47" s="372"/>
    </row>
    <row r="48" spans="2:17">
      <c r="C48" s="372"/>
      <c r="D48" s="372"/>
      <c r="E48" s="372"/>
    </row>
    <row r="49" spans="3:5">
      <c r="C49" s="372"/>
      <c r="D49" s="372"/>
      <c r="E49" s="372"/>
    </row>
  </sheetData>
  <phoneticPr fontId="55" type="noConversion"/>
  <conditionalFormatting sqref="E23 C32:O32 D23:D24 O16:O31 F23:N24 C2:C31 C2:O15">
    <cfRule type="cellIs" dxfId="14" priority="141" operator="lessThan">
      <formula>0</formula>
    </cfRule>
  </conditionalFormatting>
  <conditionalFormatting sqref="C8:E8">
    <cfRule type="cellIs" dxfId="13" priority="12" operator="lessThan">
      <formula>0</formula>
    </cfRule>
  </conditionalFormatting>
  <conditionalFormatting sqref="C8:E8">
    <cfRule type="cellIs" dxfId="12" priority="11" operator="lessThan">
      <formula>0</formula>
    </cfRule>
  </conditionalFormatting>
  <conditionalFormatting sqref="C8:E8">
    <cfRule type="cellIs" dxfId="11" priority="10" operator="lessThan">
      <formula>0</formula>
    </cfRule>
  </conditionalFormatting>
  <conditionalFormatting sqref="C8:E8">
    <cfRule type="cellIs" dxfId="10" priority="9" operator="lessThan">
      <formula>0</formula>
    </cfRule>
  </conditionalFormatting>
  <conditionalFormatting sqref="C8:E8">
    <cfRule type="cellIs" dxfId="9" priority="8" operator="lessThan">
      <formula>0</formula>
    </cfRule>
  </conditionalFormatting>
  <conditionalFormatting sqref="C8:E8">
    <cfRule type="cellIs" dxfId="8" priority="7" operator="lessThan">
      <formula>0</formula>
    </cfRule>
  </conditionalFormatting>
  <conditionalFormatting sqref="C8:E8">
    <cfRule type="cellIs" dxfId="7" priority="6" operator="lessThan">
      <formula>0</formula>
    </cfRule>
  </conditionalFormatting>
  <conditionalFormatting sqref="C8:E8">
    <cfRule type="cellIs" dxfId="6" priority="5" operator="lessThan">
      <formula>0</formula>
    </cfRule>
  </conditionalFormatting>
  <conditionalFormatting sqref="C8:E8">
    <cfRule type="cellIs" dxfId="5" priority="4" operator="lessThan">
      <formula>0</formula>
    </cfRule>
  </conditionalFormatting>
  <conditionalFormatting sqref="C8:E8">
    <cfRule type="cellIs" dxfId="4" priority="3" operator="lessThan">
      <formula>0</formula>
    </cfRule>
  </conditionalFormatting>
  <conditionalFormatting sqref="C8:E8">
    <cfRule type="cellIs" dxfId="3" priority="2" operator="lessThan">
      <formula>0</formula>
    </cfRule>
  </conditionalFormatting>
  <conditionalFormatting sqref="C8:E8">
    <cfRule type="cellIs" dxfId="2" priority="1" operator="lessThan">
      <formula>0</formula>
    </cfRule>
  </conditionalFormatting>
  <dataValidations count="1">
    <dataValidation type="decimal" operator="greaterThanOrEqual" showInputMessage="1" showErrorMessage="1" error="Будь ласка, вкажіть додатнє число." sqref="O16:O32 D5:E15 C2:E3 F2:O15 D23:E23 D32:N32 G23:N24 C4:C32">
      <formula1>0</formula1>
    </dataValidation>
  </dataValidations>
  <pageMargins left="0" right="0" top="0" bottom="0" header="0" footer="0"/>
  <pageSetup paperSize="9" scale="5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H47"/>
  <sheetViews>
    <sheetView zoomScale="70" zoomScaleNormal="70" workbookViewId="0">
      <selection activeCell="U16" sqref="U16"/>
    </sheetView>
  </sheetViews>
  <sheetFormatPr defaultRowHeight="15"/>
  <cols>
    <col min="1" max="1" width="8.42578125" customWidth="1"/>
    <col min="2" max="2" width="46.5703125" customWidth="1"/>
    <col min="3" max="3" width="14" customWidth="1"/>
    <col min="4" max="5" width="14.140625" customWidth="1"/>
    <col min="6" max="6" width="13" customWidth="1"/>
    <col min="7" max="7" width="13.28515625" customWidth="1"/>
    <col min="8" max="8" width="13.42578125" customWidth="1"/>
    <col min="9" max="9" width="12.85546875" customWidth="1"/>
    <col min="10" max="14" width="13" customWidth="1"/>
    <col min="15" max="15" width="14.7109375" customWidth="1"/>
    <col min="16" max="16" width="14.42578125" customWidth="1"/>
    <col min="17" max="17" width="14" customWidth="1"/>
    <col min="18" max="18" width="14.7109375" customWidth="1"/>
    <col min="19" max="19" width="15.42578125" customWidth="1"/>
    <col min="21" max="21" width="22.42578125" customWidth="1"/>
    <col min="22" max="22" width="22.7109375" customWidth="1"/>
    <col min="23" max="23" width="17.28515625" customWidth="1"/>
    <col min="24" max="24" width="17" customWidth="1"/>
    <col min="25" max="25" width="24.28515625" customWidth="1"/>
    <col min="26" max="26" width="21.7109375" customWidth="1"/>
    <col min="27" max="27" width="12.5703125" customWidth="1"/>
    <col min="30" max="31" width="12.42578125" customWidth="1"/>
    <col min="32" max="32" width="12.85546875" customWidth="1"/>
    <col min="33" max="33" width="11.140625" customWidth="1"/>
  </cols>
  <sheetData>
    <row r="1" spans="1:34" ht="18.75">
      <c r="A1" s="741"/>
      <c r="B1" s="962" t="s">
        <v>346</v>
      </c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  <c r="O1" s="962"/>
      <c r="P1" s="962"/>
      <c r="Q1" s="962"/>
      <c r="R1" s="962"/>
      <c r="S1" s="742"/>
    </row>
    <row r="2" spans="1:34" ht="18.75">
      <c r="A2" s="741"/>
      <c r="B2" s="743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</row>
    <row r="3" spans="1:34" ht="81" customHeight="1">
      <c r="A3" s="745" t="s">
        <v>1224</v>
      </c>
      <c r="B3" s="746"/>
      <c r="C3" s="745" t="s">
        <v>1374</v>
      </c>
      <c r="D3" s="745" t="s">
        <v>1375</v>
      </c>
      <c r="E3" s="745" t="s">
        <v>1376</v>
      </c>
      <c r="F3" s="745" t="s">
        <v>1377</v>
      </c>
      <c r="G3" s="745" t="s">
        <v>1378</v>
      </c>
      <c r="H3" s="745" t="s">
        <v>1379</v>
      </c>
      <c r="I3" s="745" t="s">
        <v>1380</v>
      </c>
      <c r="J3" s="745" t="s">
        <v>1381</v>
      </c>
      <c r="K3" s="745" t="s">
        <v>1382</v>
      </c>
      <c r="L3" s="745" t="s">
        <v>1383</v>
      </c>
      <c r="M3" s="745" t="s">
        <v>1384</v>
      </c>
      <c r="N3" s="745" t="s">
        <v>1385</v>
      </c>
      <c r="O3" s="747" t="s">
        <v>1513</v>
      </c>
      <c r="P3" s="747" t="s">
        <v>1514</v>
      </c>
      <c r="Q3" s="747" t="s">
        <v>1515</v>
      </c>
      <c r="R3" s="747" t="s">
        <v>1516</v>
      </c>
      <c r="S3" s="747" t="s">
        <v>1517</v>
      </c>
      <c r="U3" s="748" t="s">
        <v>339</v>
      </c>
      <c r="V3" s="748" t="s">
        <v>340</v>
      </c>
      <c r="W3" s="808" t="s">
        <v>341</v>
      </c>
      <c r="X3" s="808" t="s">
        <v>341</v>
      </c>
      <c r="Y3" s="808" t="s">
        <v>342</v>
      </c>
      <c r="Z3" s="808" t="s">
        <v>342</v>
      </c>
      <c r="AA3" s="808" t="s">
        <v>182</v>
      </c>
      <c r="AB3" s="808" t="s">
        <v>183</v>
      </c>
      <c r="AC3" s="808" t="s">
        <v>184</v>
      </c>
      <c r="AD3" s="808" t="s">
        <v>345</v>
      </c>
      <c r="AE3" s="808" t="s">
        <v>344</v>
      </c>
      <c r="AF3" s="808" t="s">
        <v>343</v>
      </c>
      <c r="AG3" s="808" t="s">
        <v>185</v>
      </c>
    </row>
    <row r="4" spans="1:34" ht="18.75">
      <c r="A4" s="749">
        <f ca="1">' тарифікація 01.01'!S479</f>
        <v>3</v>
      </c>
      <c r="B4" s="763" t="s">
        <v>1327</v>
      </c>
      <c r="C4" s="750">
        <f ca="1">' тарифікація 01.01'!AB479</f>
        <v>58199.210875000004</v>
      </c>
      <c r="D4" s="750">
        <f>C4</f>
        <v>58199.210875000004</v>
      </c>
      <c r="E4" s="750">
        <f>D4</f>
        <v>58199.210875000004</v>
      </c>
      <c r="F4" s="750">
        <f t="shared" ref="F4:N4" si="0">E4</f>
        <v>58199.210875000004</v>
      </c>
      <c r="G4" s="750">
        <f t="shared" si="0"/>
        <v>58199.210875000004</v>
      </c>
      <c r="H4" s="750">
        <f t="shared" si="0"/>
        <v>58199.210875000004</v>
      </c>
      <c r="I4" s="750">
        <f t="shared" si="0"/>
        <v>58199.210875000004</v>
      </c>
      <c r="J4" s="750">
        <f t="shared" si="0"/>
        <v>58199.210875000004</v>
      </c>
      <c r="K4" s="750">
        <f t="shared" si="0"/>
        <v>58199.210875000004</v>
      </c>
      <c r="L4" s="750">
        <f t="shared" si="0"/>
        <v>58199.210875000004</v>
      </c>
      <c r="M4" s="750">
        <f t="shared" si="0"/>
        <v>58199.210875000004</v>
      </c>
      <c r="N4" s="750">
        <f t="shared" si="0"/>
        <v>58199.210875000004</v>
      </c>
      <c r="O4" s="750">
        <f t="shared" ref="O4:O13" si="1">C4+D4+E4</f>
        <v>174597.63262500003</v>
      </c>
      <c r="P4" s="750">
        <f>F4+G4+H4</f>
        <v>174597.63262500003</v>
      </c>
      <c r="Q4" s="750">
        <f>I4+J4+K4</f>
        <v>174597.63262500003</v>
      </c>
      <c r="R4" s="750">
        <f>L4+M4+N4</f>
        <v>174597.63262500003</v>
      </c>
      <c r="S4" s="750">
        <f>SUM(O4:R4)</f>
        <v>698390.53050000011</v>
      </c>
      <c r="U4" s="807">
        <f ca="1">SUM(' тарифікація 01.01'!AB83:AB93)</f>
        <v>80000</v>
      </c>
      <c r="V4" s="751">
        <f ca="1">U4</f>
        <v>80000</v>
      </c>
      <c r="W4" s="878">
        <f ca="1">' тарифікація 01.01'!AB70</f>
        <v>4000</v>
      </c>
      <c r="X4" s="880">
        <f ca="1">W4</f>
        <v>4000</v>
      </c>
      <c r="Y4" s="879">
        <f ca="1">SUM(' тарифікація 01.01'!AB75:AB79)</f>
        <v>41278</v>
      </c>
      <c r="Z4" s="880">
        <f>Y4</f>
        <v>41278</v>
      </c>
      <c r="AA4" s="563">
        <f ca="1">Енергоносії...!J3</f>
        <v>1316.7</v>
      </c>
      <c r="AB4">
        <f ca="1">Енергоносії...!J2</f>
        <v>11973.4</v>
      </c>
      <c r="AC4">
        <v>3534.2</v>
      </c>
      <c r="AD4" s="68">
        <f>U5/AB4*AA4</f>
        <v>10732.951375549133</v>
      </c>
      <c r="AE4" s="68">
        <f>(W5+Y5)/AC4*AA4</f>
        <v>20579.87719200951</v>
      </c>
      <c r="AF4" s="68">
        <f>V5/AB4*AA4</f>
        <v>10732.951375549133</v>
      </c>
      <c r="AG4">
        <f>(X5+Z5)/AC4*AA4</f>
        <v>20579.87719200951</v>
      </c>
    </row>
    <row r="5" spans="1:34" ht="23.25" customHeight="1">
      <c r="A5" s="749"/>
      <c r="B5" s="753" t="s">
        <v>126</v>
      </c>
      <c r="C5" s="750">
        <f ca="1">' тарифікація 01.01'!AC479</f>
        <v>4524.9205750000001</v>
      </c>
      <c r="D5" s="750">
        <f>C5</f>
        <v>4524.9205750000001</v>
      </c>
      <c r="E5" s="750">
        <f>D5</f>
        <v>4524.9205750000001</v>
      </c>
      <c r="F5" s="750">
        <f t="shared" ref="F5:N5" si="2">E5</f>
        <v>4524.9205750000001</v>
      </c>
      <c r="G5" s="750">
        <f t="shared" si="2"/>
        <v>4524.9205750000001</v>
      </c>
      <c r="H5" s="750">
        <f t="shared" si="2"/>
        <v>4524.9205750000001</v>
      </c>
      <c r="I5" s="750">
        <f t="shared" si="2"/>
        <v>4524.9205750000001</v>
      </c>
      <c r="J5" s="750">
        <f t="shared" si="2"/>
        <v>4524.9205750000001</v>
      </c>
      <c r="K5" s="750">
        <f t="shared" si="2"/>
        <v>4524.9205750000001</v>
      </c>
      <c r="L5" s="750">
        <f t="shared" si="2"/>
        <v>4524.9205750000001</v>
      </c>
      <c r="M5" s="750">
        <f t="shared" si="2"/>
        <v>4524.9205750000001</v>
      </c>
      <c r="N5" s="750">
        <f t="shared" si="2"/>
        <v>4524.9205750000001</v>
      </c>
      <c r="O5" s="750">
        <f t="shared" si="1"/>
        <v>13574.761725</v>
      </c>
      <c r="P5" s="750">
        <f>F5+G5+H5</f>
        <v>13574.761725</v>
      </c>
      <c r="Q5" s="750">
        <f>I5+J5+K5</f>
        <v>13574.761725</v>
      </c>
      <c r="R5" s="750">
        <f>L5+M5+N5</f>
        <v>13574.761725</v>
      </c>
      <c r="S5" s="750">
        <f>SUM(O5:R5)</f>
        <v>54299.046900000001</v>
      </c>
      <c r="U5" s="807">
        <f t="shared" ref="U5:Z5" si="3">U4+U6</f>
        <v>97600</v>
      </c>
      <c r="V5" s="807">
        <f t="shared" si="3"/>
        <v>97600</v>
      </c>
      <c r="W5" s="807">
        <f t="shared" si="3"/>
        <v>4880</v>
      </c>
      <c r="X5" s="807">
        <f t="shared" si="3"/>
        <v>4880</v>
      </c>
      <c r="Y5" s="807">
        <f t="shared" si="3"/>
        <v>50359.16</v>
      </c>
      <c r="Z5" s="807">
        <f t="shared" si="3"/>
        <v>50359.16</v>
      </c>
      <c r="AD5" s="68">
        <f>AD4*1.2</f>
        <v>12879.541650658959</v>
      </c>
      <c r="AE5" s="68">
        <f>AE4*1.2</f>
        <v>24695.852630411409</v>
      </c>
      <c r="AF5" s="68">
        <f>AF4*1.2</f>
        <v>12879.541650658959</v>
      </c>
      <c r="AG5" s="68">
        <f>AG4*1.2</f>
        <v>24695.852630411409</v>
      </c>
      <c r="AH5" s="809" t="s">
        <v>186</v>
      </c>
    </row>
    <row r="6" spans="1:34" ht="18.75">
      <c r="A6" s="749"/>
      <c r="B6" s="755" t="s">
        <v>1624</v>
      </c>
      <c r="C6" s="750"/>
      <c r="D6" s="750"/>
      <c r="E6" s="750"/>
      <c r="F6" s="750"/>
      <c r="G6" s="750"/>
      <c r="H6" s="750"/>
      <c r="I6" s="750"/>
      <c r="J6" s="750"/>
      <c r="K6" s="750"/>
      <c r="L6" s="750"/>
      <c r="M6" s="750"/>
      <c r="N6" s="750"/>
      <c r="O6" s="750">
        <f t="shared" si="1"/>
        <v>0</v>
      </c>
      <c r="P6" s="750">
        <f>F6+G6+H6</f>
        <v>0</v>
      </c>
      <c r="Q6" s="750">
        <f>I6+J6+K6</f>
        <v>0</v>
      </c>
      <c r="R6" s="750">
        <f>L6+M6+N6</f>
        <v>0</v>
      </c>
      <c r="S6" s="750">
        <f>SUM(O6:R6)</f>
        <v>0</v>
      </c>
      <c r="U6" s="563">
        <f t="shared" ref="U6:Z6" si="4">U4*0.22</f>
        <v>17600</v>
      </c>
      <c r="V6" s="563">
        <f t="shared" si="4"/>
        <v>17600</v>
      </c>
      <c r="W6" s="563">
        <f t="shared" si="4"/>
        <v>880</v>
      </c>
      <c r="X6" s="563">
        <f t="shared" si="4"/>
        <v>880</v>
      </c>
      <c r="Y6" s="563">
        <f t="shared" si="4"/>
        <v>9081.16</v>
      </c>
      <c r="Z6" s="563">
        <f t="shared" si="4"/>
        <v>9081.16</v>
      </c>
    </row>
    <row r="7" spans="1:34" ht="18.75">
      <c r="A7" s="749"/>
      <c r="B7" s="764" t="s">
        <v>1351</v>
      </c>
      <c r="C7" s="757">
        <f t="shared" ref="C7:M7" si="5">SUM(C4:C6)</f>
        <v>62724.131450000001</v>
      </c>
      <c r="D7" s="757">
        <f t="shared" si="5"/>
        <v>62724.131450000001</v>
      </c>
      <c r="E7" s="757">
        <f t="shared" si="5"/>
        <v>62724.131450000001</v>
      </c>
      <c r="F7" s="757">
        <f t="shared" si="5"/>
        <v>62724.131450000001</v>
      </c>
      <c r="G7" s="757">
        <f t="shared" si="5"/>
        <v>62724.131450000001</v>
      </c>
      <c r="H7" s="757">
        <f t="shared" si="5"/>
        <v>62724.131450000001</v>
      </c>
      <c r="I7" s="757">
        <f t="shared" si="5"/>
        <v>62724.131450000001</v>
      </c>
      <c r="J7" s="757">
        <f t="shared" si="5"/>
        <v>62724.131450000001</v>
      </c>
      <c r="K7" s="757">
        <f t="shared" si="5"/>
        <v>62724.131450000001</v>
      </c>
      <c r="L7" s="757">
        <f t="shared" si="5"/>
        <v>62724.131450000001</v>
      </c>
      <c r="M7" s="757">
        <f t="shared" si="5"/>
        <v>62724.131450000001</v>
      </c>
      <c r="N7" s="757">
        <f>SUM(N4:N6)</f>
        <v>62724.131450000001</v>
      </c>
      <c r="O7" s="757">
        <f>C7+D7+E7</f>
        <v>188172.39435000002</v>
      </c>
      <c r="P7" s="757">
        <f>F7+G7+H7</f>
        <v>188172.39435000002</v>
      </c>
      <c r="Q7" s="757">
        <f>I7+J7+K7</f>
        <v>188172.39435000002</v>
      </c>
      <c r="R7" s="757">
        <f>L7+M7+N7</f>
        <v>188172.39435000002</v>
      </c>
      <c r="S7" s="757">
        <f>SUM(O7:R7)</f>
        <v>752689.57740000007</v>
      </c>
      <c r="V7" s="751"/>
    </row>
    <row r="8" spans="1:34" ht="18.75">
      <c r="A8" s="749">
        <f ca="1">' тарифікація 01.01'!B480</f>
        <v>13</v>
      </c>
      <c r="B8" s="763" t="s">
        <v>1325</v>
      </c>
      <c r="C8" s="750">
        <f ca="1">' тарифікація 01.01'!AB480+' тарифікація 01.01'!AB481+' тарифікація 01.01'!AB482</f>
        <v>140973.74549999999</v>
      </c>
      <c r="D8" s="750">
        <f t="shared" ref="D8:N8" si="6">C8</f>
        <v>140973.74549999999</v>
      </c>
      <c r="E8" s="750">
        <f t="shared" si="6"/>
        <v>140973.74549999999</v>
      </c>
      <c r="F8" s="750">
        <f t="shared" si="6"/>
        <v>140973.74549999999</v>
      </c>
      <c r="G8" s="750">
        <f t="shared" si="6"/>
        <v>140973.74549999999</v>
      </c>
      <c r="H8" s="750">
        <f t="shared" si="6"/>
        <v>140973.74549999999</v>
      </c>
      <c r="I8" s="750">
        <f t="shared" si="6"/>
        <v>140973.74549999999</v>
      </c>
      <c r="J8" s="750">
        <f t="shared" si="6"/>
        <v>140973.74549999999</v>
      </c>
      <c r="K8" s="750">
        <f t="shared" si="6"/>
        <v>140973.74549999999</v>
      </c>
      <c r="L8" s="750">
        <f t="shared" si="6"/>
        <v>140973.74549999999</v>
      </c>
      <c r="M8" s="750">
        <f t="shared" si="6"/>
        <v>140973.74549999999</v>
      </c>
      <c r="N8" s="750">
        <f t="shared" si="6"/>
        <v>140973.74549999999</v>
      </c>
      <c r="O8" s="750">
        <f t="shared" si="1"/>
        <v>422921.2365</v>
      </c>
      <c r="P8" s="750">
        <f t="shared" ref="P8:P26" si="7">F8+G8+H8</f>
        <v>422921.2365</v>
      </c>
      <c r="Q8" s="750">
        <f t="shared" ref="Q8:Q29" si="8">I8+J8+K8</f>
        <v>422921.2365</v>
      </c>
      <c r="R8" s="750">
        <f t="shared" ref="R8:R23" si="9">L8+M8+N8</f>
        <v>422921.2365</v>
      </c>
      <c r="S8" s="750">
        <f t="shared" ref="S8:S29" si="10">SUM(O8:R8)</f>
        <v>1691684.946</v>
      </c>
    </row>
    <row r="9" spans="1:34" ht="24.75" customHeight="1">
      <c r="A9" s="749"/>
      <c r="B9" s="753" t="s">
        <v>126</v>
      </c>
      <c r="C9" s="750">
        <f ca="1">' тарифікація 01.01'!AC480+' тарифікація 01.01'!AC481+' тарифікація 01.01'!AC482</f>
        <v>51134.97</v>
      </c>
      <c r="D9" s="750">
        <f t="shared" ref="D9:N9" si="11">C9</f>
        <v>51134.97</v>
      </c>
      <c r="E9" s="750">
        <f t="shared" si="11"/>
        <v>51134.97</v>
      </c>
      <c r="F9" s="750">
        <f t="shared" si="11"/>
        <v>51134.97</v>
      </c>
      <c r="G9" s="750">
        <f t="shared" si="11"/>
        <v>51134.97</v>
      </c>
      <c r="H9" s="750">
        <f t="shared" si="11"/>
        <v>51134.97</v>
      </c>
      <c r="I9" s="750">
        <f t="shared" si="11"/>
        <v>51134.97</v>
      </c>
      <c r="J9" s="750">
        <f t="shared" si="11"/>
        <v>51134.97</v>
      </c>
      <c r="K9" s="750">
        <f t="shared" si="11"/>
        <v>51134.97</v>
      </c>
      <c r="L9" s="750">
        <f t="shared" si="11"/>
        <v>51134.97</v>
      </c>
      <c r="M9" s="750">
        <f t="shared" si="11"/>
        <v>51134.97</v>
      </c>
      <c r="N9" s="750">
        <f t="shared" si="11"/>
        <v>51134.97</v>
      </c>
      <c r="O9" s="750">
        <f t="shared" si="1"/>
        <v>153404.91</v>
      </c>
      <c r="P9" s="750">
        <f t="shared" si="7"/>
        <v>153404.91</v>
      </c>
      <c r="Q9" s="750">
        <f t="shared" si="8"/>
        <v>153404.91</v>
      </c>
      <c r="R9" s="750">
        <f t="shared" si="9"/>
        <v>153404.91</v>
      </c>
      <c r="S9" s="750">
        <f t="shared" si="10"/>
        <v>613619.64</v>
      </c>
    </row>
    <row r="10" spans="1:34" ht="18.75">
      <c r="A10" s="749"/>
      <c r="B10" s="755" t="s">
        <v>1624</v>
      </c>
      <c r="C10" s="750"/>
      <c r="D10" s="750"/>
      <c r="E10" s="750"/>
      <c r="F10" s="750"/>
      <c r="G10" s="750"/>
      <c r="H10" s="750"/>
      <c r="I10" s="750"/>
      <c r="J10" s="750"/>
      <c r="K10" s="750"/>
      <c r="L10" s="750"/>
      <c r="M10" s="750"/>
      <c r="N10" s="750"/>
      <c r="O10" s="750">
        <f t="shared" si="1"/>
        <v>0</v>
      </c>
      <c r="P10" s="750">
        <f t="shared" si="7"/>
        <v>0</v>
      </c>
      <c r="Q10" s="750">
        <f t="shared" si="8"/>
        <v>0</v>
      </c>
      <c r="R10" s="750">
        <f t="shared" si="9"/>
        <v>0</v>
      </c>
      <c r="S10" s="750">
        <f t="shared" si="10"/>
        <v>0</v>
      </c>
    </row>
    <row r="11" spans="1:34" ht="18.75">
      <c r="A11" s="749"/>
      <c r="B11" s="755" t="s">
        <v>121</v>
      </c>
      <c r="C11" s="750">
        <f ca="1">' тарифікація 01.01'!AX482</f>
        <v>22000</v>
      </c>
      <c r="D11" s="750">
        <f>C11</f>
        <v>22000</v>
      </c>
      <c r="E11" s="750">
        <f>D11</f>
        <v>22000</v>
      </c>
      <c r="F11" s="750">
        <f t="shared" ref="F11:N11" si="12">E11</f>
        <v>22000</v>
      </c>
      <c r="G11" s="750">
        <f t="shared" si="12"/>
        <v>22000</v>
      </c>
      <c r="H11" s="750">
        <f t="shared" si="12"/>
        <v>22000</v>
      </c>
      <c r="I11" s="750">
        <f t="shared" si="12"/>
        <v>22000</v>
      </c>
      <c r="J11" s="750">
        <f t="shared" si="12"/>
        <v>22000</v>
      </c>
      <c r="K11" s="750">
        <f t="shared" si="12"/>
        <v>22000</v>
      </c>
      <c r="L11" s="750">
        <f t="shared" si="12"/>
        <v>22000</v>
      </c>
      <c r="M11" s="750">
        <f t="shared" si="12"/>
        <v>22000</v>
      </c>
      <c r="N11" s="750">
        <f t="shared" si="12"/>
        <v>22000</v>
      </c>
      <c r="O11" s="750">
        <f t="shared" si="1"/>
        <v>66000</v>
      </c>
      <c r="P11" s="750">
        <f t="shared" si="7"/>
        <v>66000</v>
      </c>
      <c r="Q11" s="750">
        <f t="shared" si="8"/>
        <v>66000</v>
      </c>
      <c r="R11" s="750">
        <f t="shared" si="9"/>
        <v>66000</v>
      </c>
      <c r="S11" s="750">
        <f t="shared" si="10"/>
        <v>264000</v>
      </c>
    </row>
    <row r="12" spans="1:34" ht="18.75">
      <c r="A12" s="749"/>
      <c r="B12" s="764" t="s">
        <v>1351</v>
      </c>
      <c r="C12" s="757">
        <f ca="1">SUM(C8:C11)</f>
        <v>214108.71549999999</v>
      </c>
      <c r="D12" s="757">
        <f t="shared" ref="D12:N12" si="13">SUM(D8:D11)</f>
        <v>214108.71549999999</v>
      </c>
      <c r="E12" s="757">
        <f t="shared" si="13"/>
        <v>214108.71549999999</v>
      </c>
      <c r="F12" s="757">
        <f t="shared" si="13"/>
        <v>214108.71549999999</v>
      </c>
      <c r="G12" s="757">
        <f t="shared" si="13"/>
        <v>214108.71549999999</v>
      </c>
      <c r="H12" s="757">
        <f t="shared" si="13"/>
        <v>214108.71549999999</v>
      </c>
      <c r="I12" s="757">
        <f t="shared" si="13"/>
        <v>214108.71549999999</v>
      </c>
      <c r="J12" s="757">
        <f t="shared" si="13"/>
        <v>214108.71549999999</v>
      </c>
      <c r="K12" s="757">
        <f t="shared" si="13"/>
        <v>214108.71549999999</v>
      </c>
      <c r="L12" s="757">
        <f t="shared" si="13"/>
        <v>214108.71549999999</v>
      </c>
      <c r="M12" s="757">
        <f t="shared" si="13"/>
        <v>214108.71549999999</v>
      </c>
      <c r="N12" s="757">
        <f t="shared" si="13"/>
        <v>214108.71549999999</v>
      </c>
      <c r="O12" s="757">
        <f>C12+D12+E12</f>
        <v>642326.14650000003</v>
      </c>
      <c r="P12" s="757">
        <f>F12+G12+H12</f>
        <v>642326.14650000003</v>
      </c>
      <c r="Q12" s="757">
        <f>I12+J12+K12</f>
        <v>642326.14650000003</v>
      </c>
      <c r="R12" s="757">
        <f>L12+M12+N12</f>
        <v>642326.14650000003</v>
      </c>
      <c r="S12" s="757">
        <f>SUM(O12:R12)</f>
        <v>2569304.5860000001</v>
      </c>
    </row>
    <row r="13" spans="1:34" ht="18.75">
      <c r="A13" s="749">
        <f ca="1">' тарифікація 01.01'!B483</f>
        <v>46.5</v>
      </c>
      <c r="B13" s="763" t="s">
        <v>1427</v>
      </c>
      <c r="C13" s="750">
        <f ca="1">' тарифікація 01.01'!AB483</f>
        <v>410534.83875</v>
      </c>
      <c r="D13" s="750">
        <f t="shared" ref="D13:N13" si="14">C13</f>
        <v>410534.83875</v>
      </c>
      <c r="E13" s="750">
        <f t="shared" si="14"/>
        <v>410534.83875</v>
      </c>
      <c r="F13" s="750">
        <f t="shared" si="14"/>
        <v>410534.83875</v>
      </c>
      <c r="G13" s="750">
        <f t="shared" si="14"/>
        <v>410534.83875</v>
      </c>
      <c r="H13" s="750">
        <f t="shared" si="14"/>
        <v>410534.83875</v>
      </c>
      <c r="I13" s="750">
        <f t="shared" si="14"/>
        <v>410534.83875</v>
      </c>
      <c r="J13" s="750">
        <f t="shared" si="14"/>
        <v>410534.83875</v>
      </c>
      <c r="K13" s="750">
        <f t="shared" si="14"/>
        <v>410534.83875</v>
      </c>
      <c r="L13" s="750">
        <f t="shared" si="14"/>
        <v>410534.83875</v>
      </c>
      <c r="M13" s="750">
        <f t="shared" si="14"/>
        <v>410534.83875</v>
      </c>
      <c r="N13" s="750">
        <f t="shared" si="14"/>
        <v>410534.83875</v>
      </c>
      <c r="O13" s="750">
        <f t="shared" si="1"/>
        <v>1231604.5162499999</v>
      </c>
      <c r="P13" s="750">
        <f t="shared" si="7"/>
        <v>1231604.5162499999</v>
      </c>
      <c r="Q13" s="750">
        <f t="shared" si="8"/>
        <v>1231604.5162499999</v>
      </c>
      <c r="R13" s="750">
        <f t="shared" si="9"/>
        <v>1231604.5162499999</v>
      </c>
      <c r="S13" s="750">
        <f t="shared" si="10"/>
        <v>4926418.0649999995</v>
      </c>
    </row>
    <row r="14" spans="1:34" ht="21.75" customHeight="1">
      <c r="A14" s="749"/>
      <c r="B14" s="753" t="s">
        <v>126</v>
      </c>
      <c r="C14" s="750">
        <f ca="1">' тарифікація 01.01'!AC483</f>
        <v>513465.16125000012</v>
      </c>
      <c r="D14" s="750">
        <f t="shared" ref="D14:N14" si="15">C14</f>
        <v>513465.16125000012</v>
      </c>
      <c r="E14" s="750">
        <f t="shared" si="15"/>
        <v>513465.16125000012</v>
      </c>
      <c r="F14" s="750">
        <f t="shared" si="15"/>
        <v>513465.16125000012</v>
      </c>
      <c r="G14" s="750">
        <f t="shared" si="15"/>
        <v>513465.16125000012</v>
      </c>
      <c r="H14" s="750">
        <f t="shared" si="15"/>
        <v>513465.16125000012</v>
      </c>
      <c r="I14" s="750">
        <f t="shared" si="15"/>
        <v>513465.16125000012</v>
      </c>
      <c r="J14" s="750">
        <f t="shared" si="15"/>
        <v>513465.16125000012</v>
      </c>
      <c r="K14" s="750">
        <f t="shared" si="15"/>
        <v>513465.16125000012</v>
      </c>
      <c r="L14" s="750">
        <f t="shared" si="15"/>
        <v>513465.16125000012</v>
      </c>
      <c r="M14" s="750">
        <f t="shared" si="15"/>
        <v>513465.16125000012</v>
      </c>
      <c r="N14" s="750">
        <f t="shared" si="15"/>
        <v>513465.16125000012</v>
      </c>
      <c r="O14" s="750">
        <f t="shared" ref="O14:O25" si="16">C14+D14+E14</f>
        <v>1540395.4837500004</v>
      </c>
      <c r="P14" s="750">
        <f>F14+G14+H14</f>
        <v>1540395.4837500004</v>
      </c>
      <c r="Q14" s="750">
        <f t="shared" si="8"/>
        <v>1540395.4837500004</v>
      </c>
      <c r="R14" s="750">
        <f t="shared" si="9"/>
        <v>1540395.4837500004</v>
      </c>
      <c r="S14" s="750">
        <f t="shared" si="10"/>
        <v>6161581.9350000015</v>
      </c>
    </row>
    <row r="15" spans="1:34" ht="18.75">
      <c r="A15" s="749"/>
      <c r="B15" s="755" t="s">
        <v>1624</v>
      </c>
      <c r="C15" s="750"/>
      <c r="D15" s="750"/>
      <c r="E15" s="750"/>
      <c r="F15" s="750"/>
      <c r="G15" s="750"/>
      <c r="H15" s="750"/>
      <c r="I15" s="750"/>
      <c r="J15" s="750"/>
      <c r="K15" s="750"/>
      <c r="L15" s="750"/>
      <c r="M15" s="750"/>
      <c r="N15" s="750"/>
      <c r="O15" s="750">
        <f>C15+D15+E15</f>
        <v>0</v>
      </c>
      <c r="P15" s="750">
        <f>F15+G15+H15</f>
        <v>0</v>
      </c>
      <c r="Q15" s="750">
        <f t="shared" si="8"/>
        <v>0</v>
      </c>
      <c r="R15" s="750">
        <f t="shared" si="9"/>
        <v>0</v>
      </c>
      <c r="S15" s="750">
        <f t="shared" si="10"/>
        <v>0</v>
      </c>
    </row>
    <row r="16" spans="1:34" ht="18.75">
      <c r="A16" s="749"/>
      <c r="B16" s="764" t="s">
        <v>1351</v>
      </c>
      <c r="C16" s="757">
        <f ca="1">SUM(C13:C15)</f>
        <v>924000.00000000012</v>
      </c>
      <c r="D16" s="757">
        <f t="shared" ref="D16:N16" si="17">SUM(D13:D15)</f>
        <v>924000.00000000012</v>
      </c>
      <c r="E16" s="757">
        <f t="shared" si="17"/>
        <v>924000.00000000012</v>
      </c>
      <c r="F16" s="757">
        <f t="shared" si="17"/>
        <v>924000.00000000012</v>
      </c>
      <c r="G16" s="757">
        <f t="shared" si="17"/>
        <v>924000.00000000012</v>
      </c>
      <c r="H16" s="757">
        <f t="shared" si="17"/>
        <v>924000.00000000012</v>
      </c>
      <c r="I16" s="757">
        <f t="shared" si="17"/>
        <v>924000.00000000012</v>
      </c>
      <c r="J16" s="757">
        <f t="shared" si="17"/>
        <v>924000.00000000012</v>
      </c>
      <c r="K16" s="757">
        <f t="shared" si="17"/>
        <v>924000.00000000012</v>
      </c>
      <c r="L16" s="757">
        <f t="shared" si="17"/>
        <v>924000.00000000012</v>
      </c>
      <c r="M16" s="757">
        <f t="shared" si="17"/>
        <v>924000.00000000012</v>
      </c>
      <c r="N16" s="757">
        <f t="shared" si="17"/>
        <v>924000.00000000012</v>
      </c>
      <c r="O16" s="757">
        <f>C16+D16+E16</f>
        <v>2772000.0000000005</v>
      </c>
      <c r="P16" s="757">
        <f>F16+G16+H16</f>
        <v>2772000.0000000005</v>
      </c>
      <c r="Q16" s="757">
        <f>I16+J16+K16</f>
        <v>2772000.0000000005</v>
      </c>
      <c r="R16" s="757">
        <f>L16+M16+N16</f>
        <v>2772000.0000000005</v>
      </c>
      <c r="S16" s="757">
        <f>SUM(O16:R16)</f>
        <v>11088000.000000002</v>
      </c>
    </row>
    <row r="17" spans="1:21" ht="18.75">
      <c r="A17" s="749">
        <f ca="1">' тарифікація 01.01'!B484</f>
        <v>96.5</v>
      </c>
      <c r="B17" s="763" t="s">
        <v>1328</v>
      </c>
      <c r="C17" s="750">
        <f ca="1">' тарифікація 01.01'!AB484</f>
        <v>784101.38124999998</v>
      </c>
      <c r="D17" s="750">
        <f t="shared" ref="D17:N17" si="18">C17</f>
        <v>784101.38124999998</v>
      </c>
      <c r="E17" s="750">
        <f t="shared" si="18"/>
        <v>784101.38124999998</v>
      </c>
      <c r="F17" s="750">
        <f t="shared" si="18"/>
        <v>784101.38124999998</v>
      </c>
      <c r="G17" s="750">
        <f t="shared" si="18"/>
        <v>784101.38124999998</v>
      </c>
      <c r="H17" s="750">
        <f t="shared" si="18"/>
        <v>784101.38124999998</v>
      </c>
      <c r="I17" s="750">
        <f t="shared" si="18"/>
        <v>784101.38124999998</v>
      </c>
      <c r="J17" s="750">
        <f t="shared" si="18"/>
        <v>784101.38124999998</v>
      </c>
      <c r="K17" s="750">
        <f t="shared" si="18"/>
        <v>784101.38124999998</v>
      </c>
      <c r="L17" s="750">
        <f t="shared" si="18"/>
        <v>784101.38124999998</v>
      </c>
      <c r="M17" s="750">
        <f t="shared" si="18"/>
        <v>784101.38124999998</v>
      </c>
      <c r="N17" s="750">
        <f t="shared" si="18"/>
        <v>784101.38124999998</v>
      </c>
      <c r="O17" s="750">
        <f t="shared" si="16"/>
        <v>2352304.1437499998</v>
      </c>
      <c r="P17" s="750">
        <f t="shared" si="7"/>
        <v>2352304.1437499998</v>
      </c>
      <c r="Q17" s="750">
        <f t="shared" si="8"/>
        <v>2352304.1437499998</v>
      </c>
      <c r="R17" s="750">
        <f t="shared" si="9"/>
        <v>2352304.1437499998</v>
      </c>
      <c r="S17" s="750">
        <f t="shared" si="10"/>
        <v>9409216.5749999993</v>
      </c>
    </row>
    <row r="18" spans="1:21" ht="22.5" customHeight="1">
      <c r="A18" s="749"/>
      <c r="B18" s="753" t="s">
        <v>126</v>
      </c>
      <c r="C18" s="750">
        <f ca="1">' тарифікація 01.01'!AC484</f>
        <v>518648.61875000002</v>
      </c>
      <c r="D18" s="750">
        <f t="shared" ref="D18:N18" si="19">C18</f>
        <v>518648.61875000002</v>
      </c>
      <c r="E18" s="750">
        <f t="shared" si="19"/>
        <v>518648.61875000002</v>
      </c>
      <c r="F18" s="750">
        <f t="shared" si="19"/>
        <v>518648.61875000002</v>
      </c>
      <c r="G18" s="750">
        <f t="shared" si="19"/>
        <v>518648.61875000002</v>
      </c>
      <c r="H18" s="750">
        <f t="shared" si="19"/>
        <v>518648.61875000002</v>
      </c>
      <c r="I18" s="750">
        <f t="shared" si="19"/>
        <v>518648.61875000002</v>
      </c>
      <c r="J18" s="750">
        <f t="shared" si="19"/>
        <v>518648.61875000002</v>
      </c>
      <c r="K18" s="750">
        <f t="shared" si="19"/>
        <v>518648.61875000002</v>
      </c>
      <c r="L18" s="750">
        <f t="shared" si="19"/>
        <v>518648.61875000002</v>
      </c>
      <c r="M18" s="750">
        <f t="shared" si="19"/>
        <v>518648.61875000002</v>
      </c>
      <c r="N18" s="750">
        <f t="shared" si="19"/>
        <v>518648.61875000002</v>
      </c>
      <c r="O18" s="750">
        <f>C18+D18+E18</f>
        <v>1555945.8562500002</v>
      </c>
      <c r="P18" s="750">
        <f>F18+G18+H18</f>
        <v>1555945.8562500002</v>
      </c>
      <c r="Q18" s="750">
        <f>I18+J18+K18</f>
        <v>1555945.8562500002</v>
      </c>
      <c r="R18" s="750">
        <f>L18+M18+N18</f>
        <v>1555945.8562500002</v>
      </c>
      <c r="S18" s="750">
        <f>SUM(O18:R18)</f>
        <v>6223783.4250000007</v>
      </c>
    </row>
    <row r="19" spans="1:21" ht="18.75">
      <c r="A19" s="749"/>
      <c r="B19" s="755" t="s">
        <v>1624</v>
      </c>
      <c r="C19" s="750"/>
      <c r="D19" s="750"/>
      <c r="E19" s="750"/>
      <c r="F19" s="750"/>
      <c r="G19" s="750"/>
      <c r="H19" s="750"/>
      <c r="I19" s="750"/>
      <c r="J19" s="750"/>
      <c r="K19" s="750"/>
      <c r="L19" s="750"/>
      <c r="M19" s="750"/>
      <c r="N19" s="750"/>
      <c r="O19" s="750">
        <f>C19+D19+E19</f>
        <v>0</v>
      </c>
      <c r="P19" s="750">
        <f>F19+G19+H19</f>
        <v>0</v>
      </c>
      <c r="Q19" s="750">
        <f>I19+J19+K19</f>
        <v>0</v>
      </c>
      <c r="R19" s="750">
        <f>L19+M19+N19</f>
        <v>0</v>
      </c>
      <c r="S19" s="750">
        <f>SUM(O19:R19)</f>
        <v>0</v>
      </c>
    </row>
    <row r="20" spans="1:21" ht="18.75">
      <c r="A20" s="749"/>
      <c r="B20" s="764" t="s">
        <v>1351</v>
      </c>
      <c r="C20" s="757">
        <f ca="1">SUM(C17:C19)</f>
        <v>1302750</v>
      </c>
      <c r="D20" s="757">
        <f t="shared" ref="D20:M20" si="20">SUM(D17:D19)</f>
        <v>1302750</v>
      </c>
      <c r="E20" s="757">
        <f t="shared" si="20"/>
        <v>1302750</v>
      </c>
      <c r="F20" s="757">
        <f t="shared" si="20"/>
        <v>1302750</v>
      </c>
      <c r="G20" s="757">
        <f t="shared" si="20"/>
        <v>1302750</v>
      </c>
      <c r="H20" s="757">
        <f t="shared" si="20"/>
        <v>1302750</v>
      </c>
      <c r="I20" s="757">
        <f t="shared" si="20"/>
        <v>1302750</v>
      </c>
      <c r="J20" s="757">
        <f t="shared" si="20"/>
        <v>1302750</v>
      </c>
      <c r="K20" s="757">
        <f t="shared" si="20"/>
        <v>1302750</v>
      </c>
      <c r="L20" s="757">
        <f t="shared" si="20"/>
        <v>1302750</v>
      </c>
      <c r="M20" s="757">
        <f t="shared" si="20"/>
        <v>1302750</v>
      </c>
      <c r="N20" s="757">
        <f t="shared" ref="N20:S20" si="21">SUM(N17:N19)</f>
        <v>1302750</v>
      </c>
      <c r="O20" s="757">
        <f t="shared" si="21"/>
        <v>3908250</v>
      </c>
      <c r="P20" s="757">
        <f t="shared" si="21"/>
        <v>3908250</v>
      </c>
      <c r="Q20" s="757">
        <f t="shared" si="21"/>
        <v>3908250</v>
      </c>
      <c r="R20" s="757">
        <f t="shared" si="21"/>
        <v>3908250</v>
      </c>
      <c r="S20" s="757">
        <f t="shared" si="21"/>
        <v>15633000</v>
      </c>
    </row>
    <row r="21" spans="1:21" ht="18.75">
      <c r="A21" s="749">
        <f ca="1">' тарифікація 01.01'!B485</f>
        <v>45</v>
      </c>
      <c r="B21" s="763" t="s">
        <v>1509</v>
      </c>
      <c r="C21" s="750">
        <f ca="1">' тарифікація 01.01'!AB485</f>
        <v>377811.3</v>
      </c>
      <c r="D21" s="750">
        <f t="shared" ref="D21:N21" si="22">C21</f>
        <v>377811.3</v>
      </c>
      <c r="E21" s="750">
        <f t="shared" si="22"/>
        <v>377811.3</v>
      </c>
      <c r="F21" s="750">
        <f t="shared" si="22"/>
        <v>377811.3</v>
      </c>
      <c r="G21" s="750">
        <f t="shared" si="22"/>
        <v>377811.3</v>
      </c>
      <c r="H21" s="750">
        <f t="shared" si="22"/>
        <v>377811.3</v>
      </c>
      <c r="I21" s="750">
        <f t="shared" si="22"/>
        <v>377811.3</v>
      </c>
      <c r="J21" s="750">
        <f t="shared" si="22"/>
        <v>377811.3</v>
      </c>
      <c r="K21" s="750">
        <f t="shared" si="22"/>
        <v>377811.3</v>
      </c>
      <c r="L21" s="750">
        <f t="shared" si="22"/>
        <v>377811.3</v>
      </c>
      <c r="M21" s="750">
        <f t="shared" si="22"/>
        <v>377811.3</v>
      </c>
      <c r="N21" s="750">
        <f t="shared" si="22"/>
        <v>377811.3</v>
      </c>
      <c r="O21" s="750">
        <f t="shared" si="16"/>
        <v>1133433.8999999999</v>
      </c>
      <c r="P21" s="750">
        <f t="shared" si="7"/>
        <v>1133433.8999999999</v>
      </c>
      <c r="Q21" s="750">
        <f t="shared" si="8"/>
        <v>1133433.8999999999</v>
      </c>
      <c r="R21" s="750">
        <f t="shared" si="9"/>
        <v>1133433.8999999999</v>
      </c>
      <c r="S21" s="750">
        <f t="shared" si="10"/>
        <v>4533735.5999999996</v>
      </c>
    </row>
    <row r="22" spans="1:21" ht="18.75">
      <c r="A22" s="749"/>
      <c r="B22" s="753" t="s">
        <v>179</v>
      </c>
      <c r="C22" s="750">
        <f>14509*1.1</f>
        <v>15959.900000000001</v>
      </c>
      <c r="D22" s="750">
        <f t="shared" ref="D22:N22" si="23">C22</f>
        <v>15959.900000000001</v>
      </c>
      <c r="E22" s="750">
        <f t="shared" si="23"/>
        <v>15959.900000000001</v>
      </c>
      <c r="F22" s="750">
        <f t="shared" si="23"/>
        <v>15959.900000000001</v>
      </c>
      <c r="G22" s="750">
        <f t="shared" si="23"/>
        <v>15959.900000000001</v>
      </c>
      <c r="H22" s="750">
        <f t="shared" si="23"/>
        <v>15959.900000000001</v>
      </c>
      <c r="I22" s="750">
        <f t="shared" si="23"/>
        <v>15959.900000000001</v>
      </c>
      <c r="J22" s="750">
        <f t="shared" si="23"/>
        <v>15959.900000000001</v>
      </c>
      <c r="K22" s="750">
        <f t="shared" si="23"/>
        <v>15959.900000000001</v>
      </c>
      <c r="L22" s="750">
        <f t="shared" si="23"/>
        <v>15959.900000000001</v>
      </c>
      <c r="M22" s="750">
        <f t="shared" si="23"/>
        <v>15959.900000000001</v>
      </c>
      <c r="N22" s="750">
        <f t="shared" si="23"/>
        <v>15959.900000000001</v>
      </c>
      <c r="O22" s="750">
        <f t="shared" si="16"/>
        <v>47879.700000000004</v>
      </c>
      <c r="P22" s="750">
        <f t="shared" si="7"/>
        <v>47879.700000000004</v>
      </c>
      <c r="Q22" s="750">
        <f t="shared" si="8"/>
        <v>47879.700000000004</v>
      </c>
      <c r="R22" s="750">
        <f t="shared" si="9"/>
        <v>47879.700000000004</v>
      </c>
      <c r="S22" s="750">
        <f t="shared" si="10"/>
        <v>191518.80000000002</v>
      </c>
    </row>
    <row r="23" spans="1:21" ht="18.75">
      <c r="A23" s="749"/>
      <c r="B23" s="755" t="s">
        <v>1624</v>
      </c>
      <c r="C23" s="750"/>
      <c r="D23" s="750"/>
      <c r="E23" s="750"/>
      <c r="F23" s="750"/>
      <c r="G23" s="750"/>
      <c r="H23" s="750"/>
      <c r="I23" s="750"/>
      <c r="J23" s="750"/>
      <c r="K23" s="750"/>
      <c r="L23" s="750"/>
      <c r="M23" s="750"/>
      <c r="N23" s="750"/>
      <c r="O23" s="750">
        <f t="shared" si="16"/>
        <v>0</v>
      </c>
      <c r="P23" s="750">
        <f t="shared" si="7"/>
        <v>0</v>
      </c>
      <c r="Q23" s="750">
        <f t="shared" si="8"/>
        <v>0</v>
      </c>
      <c r="R23" s="750">
        <f t="shared" si="9"/>
        <v>0</v>
      </c>
      <c r="S23" s="750">
        <f t="shared" si="10"/>
        <v>0</v>
      </c>
      <c r="U23" s="74"/>
    </row>
    <row r="24" spans="1:21" ht="18.75">
      <c r="A24" s="749"/>
      <c r="B24" s="764" t="s">
        <v>1351</v>
      </c>
      <c r="C24" s="757">
        <f>SUM(C21:C23)</f>
        <v>393771.2</v>
      </c>
      <c r="D24" s="757">
        <f t="shared" ref="D24:M24" si="24">SUM(D21:D23)</f>
        <v>393771.2</v>
      </c>
      <c r="E24" s="757">
        <f t="shared" si="24"/>
        <v>393771.2</v>
      </c>
      <c r="F24" s="757">
        <f t="shared" si="24"/>
        <v>393771.2</v>
      </c>
      <c r="G24" s="757">
        <f t="shared" si="24"/>
        <v>393771.2</v>
      </c>
      <c r="H24" s="757">
        <f t="shared" si="24"/>
        <v>393771.2</v>
      </c>
      <c r="I24" s="757">
        <f t="shared" si="24"/>
        <v>393771.2</v>
      </c>
      <c r="J24" s="757">
        <f t="shared" si="24"/>
        <v>393771.2</v>
      </c>
      <c r="K24" s="757">
        <f t="shared" si="24"/>
        <v>393771.2</v>
      </c>
      <c r="L24" s="757">
        <f t="shared" si="24"/>
        <v>393771.2</v>
      </c>
      <c r="M24" s="757">
        <f t="shared" si="24"/>
        <v>393771.2</v>
      </c>
      <c r="N24" s="757">
        <f>SUM(N21:N23)</f>
        <v>393771.2</v>
      </c>
      <c r="O24" s="757">
        <f>C24+D24+E24</f>
        <v>1181313.6000000001</v>
      </c>
      <c r="P24" s="757">
        <f>F24+G24+H24</f>
        <v>1181313.6000000001</v>
      </c>
      <c r="Q24" s="757">
        <f>I24+J24+K24</f>
        <v>1181313.6000000001</v>
      </c>
      <c r="R24" s="757">
        <f t="shared" ref="R24:R29" si="25">L24+M24+N24</f>
        <v>1181313.6000000001</v>
      </c>
      <c r="S24" s="757">
        <f>SUM(O24:R24)</f>
        <v>4725254.4000000004</v>
      </c>
      <c r="U24" s="74"/>
    </row>
    <row r="25" spans="1:21" ht="18.75">
      <c r="A25" s="749">
        <f ca="1">' тарифікація 01.01'!B486</f>
        <v>46.5</v>
      </c>
      <c r="B25" s="763" t="s">
        <v>1326</v>
      </c>
      <c r="C25" s="750">
        <f ca="1">' тарифікація 01.01'!AB486</f>
        <v>373278</v>
      </c>
      <c r="D25" s="750">
        <f t="shared" ref="D25:N25" si="26">C25</f>
        <v>373278</v>
      </c>
      <c r="E25" s="750">
        <f t="shared" si="26"/>
        <v>373278</v>
      </c>
      <c r="F25" s="750">
        <f t="shared" si="26"/>
        <v>373278</v>
      </c>
      <c r="G25" s="750">
        <f t="shared" si="26"/>
        <v>373278</v>
      </c>
      <c r="H25" s="750">
        <f t="shared" si="26"/>
        <v>373278</v>
      </c>
      <c r="I25" s="750">
        <f t="shared" si="26"/>
        <v>373278</v>
      </c>
      <c r="J25" s="750">
        <f t="shared" si="26"/>
        <v>373278</v>
      </c>
      <c r="K25" s="750">
        <f t="shared" si="26"/>
        <v>373278</v>
      </c>
      <c r="L25" s="750">
        <f t="shared" si="26"/>
        <v>373278</v>
      </c>
      <c r="M25" s="750">
        <f t="shared" si="26"/>
        <v>373278</v>
      </c>
      <c r="N25" s="750">
        <f t="shared" si="26"/>
        <v>373278</v>
      </c>
      <c r="O25" s="750">
        <f t="shared" si="16"/>
        <v>1119834</v>
      </c>
      <c r="P25" s="750">
        <f t="shared" si="7"/>
        <v>1119834</v>
      </c>
      <c r="Q25" s="750">
        <f t="shared" si="8"/>
        <v>1119834</v>
      </c>
      <c r="R25" s="750">
        <f t="shared" si="25"/>
        <v>1119834</v>
      </c>
      <c r="S25" s="750">
        <f t="shared" si="10"/>
        <v>4479336</v>
      </c>
    </row>
    <row r="26" spans="1:21" ht="18.75">
      <c r="A26" s="749"/>
      <c r="B26" s="753" t="s">
        <v>178</v>
      </c>
      <c r="C26" s="750">
        <f ca="1">1726*1.1+3260*1.1</f>
        <v>5484.6</v>
      </c>
      <c r="D26" s="750">
        <f>1726*1.1+3260*1.1</f>
        <v>5484.6</v>
      </c>
      <c r="E26" s="750">
        <f>1726*1.1+3260*1.1</f>
        <v>5484.6</v>
      </c>
      <c r="F26" s="750">
        <f>1726*1.1+3260/2*1.1</f>
        <v>3691.6000000000004</v>
      </c>
      <c r="G26" s="750">
        <f>1726*1.1</f>
        <v>1898.6000000000001</v>
      </c>
      <c r="H26" s="750">
        <f>1726*1.1</f>
        <v>1898.6000000000001</v>
      </c>
      <c r="I26" s="750">
        <f>1726*1.1</f>
        <v>1898.6000000000001</v>
      </c>
      <c r="J26" s="750">
        <f>1726*1.1</f>
        <v>1898.6000000000001</v>
      </c>
      <c r="K26" s="750">
        <f>1726*1.1</f>
        <v>1898.6000000000001</v>
      </c>
      <c r="L26" s="750">
        <f>1726*1.1+3260/2*1.1</f>
        <v>3691.6000000000004</v>
      </c>
      <c r="M26" s="750">
        <f>1726*1.1+3260*1.1</f>
        <v>5484.6</v>
      </c>
      <c r="N26" s="750">
        <f>1726*1.1+3260*1.1</f>
        <v>5484.6</v>
      </c>
      <c r="O26" s="750">
        <f>C26+D26+E26</f>
        <v>16453.800000000003</v>
      </c>
      <c r="P26" s="750">
        <f t="shared" si="7"/>
        <v>7488.8000000000011</v>
      </c>
      <c r="Q26" s="750">
        <f t="shared" si="8"/>
        <v>5695.8</v>
      </c>
      <c r="R26" s="750">
        <f t="shared" si="25"/>
        <v>14660.800000000001</v>
      </c>
      <c r="S26" s="750">
        <f t="shared" si="10"/>
        <v>44299.200000000004</v>
      </c>
    </row>
    <row r="27" spans="1:21" ht="18.75">
      <c r="A27" s="749"/>
      <c r="B27" s="755" t="s">
        <v>121</v>
      </c>
      <c r="C27" s="750">
        <f ca="1">' тарифікація 01.01'!AX486</f>
        <v>77000</v>
      </c>
      <c r="D27" s="750">
        <f>C27</f>
        <v>77000</v>
      </c>
      <c r="E27" s="750">
        <f t="shared" ref="E27:N27" si="27">D27</f>
        <v>77000</v>
      </c>
      <c r="F27" s="750">
        <f t="shared" si="27"/>
        <v>77000</v>
      </c>
      <c r="G27" s="750">
        <f t="shared" si="27"/>
        <v>77000</v>
      </c>
      <c r="H27" s="750">
        <f t="shared" si="27"/>
        <v>77000</v>
      </c>
      <c r="I27" s="750">
        <f t="shared" si="27"/>
        <v>77000</v>
      </c>
      <c r="J27" s="750">
        <f t="shared" si="27"/>
        <v>77000</v>
      </c>
      <c r="K27" s="750">
        <f t="shared" si="27"/>
        <v>77000</v>
      </c>
      <c r="L27" s="750">
        <f t="shared" si="27"/>
        <v>77000</v>
      </c>
      <c r="M27" s="750">
        <f t="shared" si="27"/>
        <v>77000</v>
      </c>
      <c r="N27" s="750">
        <f t="shared" si="27"/>
        <v>77000</v>
      </c>
      <c r="O27" s="750">
        <f>C27+D27+E27</f>
        <v>231000</v>
      </c>
      <c r="P27" s="750">
        <f>F27+G27+H27</f>
        <v>231000</v>
      </c>
      <c r="Q27" s="750">
        <f t="shared" si="8"/>
        <v>231000</v>
      </c>
      <c r="R27" s="750">
        <f t="shared" si="25"/>
        <v>231000</v>
      </c>
      <c r="S27" s="750">
        <f t="shared" si="10"/>
        <v>924000</v>
      </c>
    </row>
    <row r="28" spans="1:21" ht="18.75">
      <c r="A28" s="749"/>
      <c r="B28" s="755" t="s">
        <v>1624</v>
      </c>
      <c r="C28" s="750"/>
      <c r="D28" s="750"/>
      <c r="E28" s="750"/>
      <c r="F28" s="750"/>
      <c r="G28" s="750"/>
      <c r="H28" s="750"/>
      <c r="I28" s="750"/>
      <c r="J28" s="750"/>
      <c r="K28" s="750"/>
      <c r="L28" s="750"/>
      <c r="M28" s="750"/>
      <c r="N28" s="750"/>
      <c r="O28" s="750">
        <f>C28+D28+E28</f>
        <v>0</v>
      </c>
      <c r="P28" s="750">
        <f>F28+G28+H28</f>
        <v>0</v>
      </c>
      <c r="Q28" s="750">
        <f t="shared" si="8"/>
        <v>0</v>
      </c>
      <c r="R28" s="750">
        <f t="shared" si="25"/>
        <v>0</v>
      </c>
      <c r="S28" s="750">
        <f t="shared" si="10"/>
        <v>0</v>
      </c>
    </row>
    <row r="29" spans="1:21" ht="18.75">
      <c r="A29" s="749"/>
      <c r="B29" s="764" t="s">
        <v>1351</v>
      </c>
      <c r="C29" s="757">
        <f>SUM(C25:C28)</f>
        <v>455762.6</v>
      </c>
      <c r="D29" s="757">
        <f t="shared" ref="D29:K29" si="28">SUM(D25:D28)</f>
        <v>455762.6</v>
      </c>
      <c r="E29" s="757">
        <f t="shared" si="28"/>
        <v>455762.6</v>
      </c>
      <c r="F29" s="757">
        <f t="shared" si="28"/>
        <v>453969.6</v>
      </c>
      <c r="G29" s="757">
        <f t="shared" si="28"/>
        <v>452176.6</v>
      </c>
      <c r="H29" s="757">
        <f t="shared" si="28"/>
        <v>452176.6</v>
      </c>
      <c r="I29" s="757">
        <f t="shared" si="28"/>
        <v>452176.6</v>
      </c>
      <c r="J29" s="757">
        <f t="shared" si="28"/>
        <v>452176.6</v>
      </c>
      <c r="K29" s="757">
        <f t="shared" si="28"/>
        <v>452176.6</v>
      </c>
      <c r="L29" s="757">
        <f>SUM(L25:L28)</f>
        <v>453969.6</v>
      </c>
      <c r="M29" s="757">
        <f>SUM(M25:M28)</f>
        <v>455762.6</v>
      </c>
      <c r="N29" s="757">
        <f>SUM(N25:N28)</f>
        <v>455762.6</v>
      </c>
      <c r="O29" s="757">
        <f>C29+D29+E29</f>
        <v>1367287.7999999998</v>
      </c>
      <c r="P29" s="757">
        <f>F29+G29+H29</f>
        <v>1358322.7999999998</v>
      </c>
      <c r="Q29" s="757">
        <f t="shared" si="8"/>
        <v>1356529.7999999998</v>
      </c>
      <c r="R29" s="757">
        <f t="shared" si="25"/>
        <v>1365494.7999999998</v>
      </c>
      <c r="S29" s="757">
        <f t="shared" si="10"/>
        <v>5447635.1999999993</v>
      </c>
    </row>
    <row r="30" spans="1:21" ht="18.75">
      <c r="A30" s="754"/>
      <c r="B30" s="754" t="s">
        <v>1749</v>
      </c>
      <c r="C30" s="756">
        <f>C7+C12+C16+C20+C24+C29</f>
        <v>3353116.6469500004</v>
      </c>
      <c r="D30" s="756">
        <f t="shared" ref="D30:N30" si="29">D7+D12+D16+D20+D24+D29</f>
        <v>3353116.6469500004</v>
      </c>
      <c r="E30" s="756">
        <f t="shared" si="29"/>
        <v>3353116.6469500004</v>
      </c>
      <c r="F30" s="756">
        <f t="shared" si="29"/>
        <v>3351323.6469500004</v>
      </c>
      <c r="G30" s="756">
        <f t="shared" si="29"/>
        <v>3349530.6469500004</v>
      </c>
      <c r="H30" s="756">
        <f t="shared" si="29"/>
        <v>3349530.6469500004</v>
      </c>
      <c r="I30" s="756">
        <f t="shared" si="29"/>
        <v>3349530.6469500004</v>
      </c>
      <c r="J30" s="756">
        <f t="shared" si="29"/>
        <v>3349530.6469500004</v>
      </c>
      <c r="K30" s="756">
        <f t="shared" si="29"/>
        <v>3349530.6469500004</v>
      </c>
      <c r="L30" s="756">
        <f t="shared" si="29"/>
        <v>3351323.6469500004</v>
      </c>
      <c r="M30" s="756">
        <f t="shared" si="29"/>
        <v>3353116.6469500004</v>
      </c>
      <c r="N30" s="756">
        <f t="shared" si="29"/>
        <v>3353116.6469500004</v>
      </c>
      <c r="O30" s="756">
        <f>O7+O12+O16+O20+O24+O29</f>
        <v>10059349.940850001</v>
      </c>
      <c r="P30" s="756">
        <f>P7+P12+P16+P20+P24+P29</f>
        <v>10050384.940850001</v>
      </c>
      <c r="Q30" s="756">
        <f>Q7+Q12+Q16+Q20+Q24+Q29</f>
        <v>10048591.940850001</v>
      </c>
      <c r="R30" s="756">
        <f>R7+R12+R16+R20+R24+R29</f>
        <v>10057556.940850001</v>
      </c>
      <c r="S30" s="756">
        <f>S7+S12+S16+S20+S24+S29</f>
        <v>40215883.763400003</v>
      </c>
    </row>
    <row r="31" spans="1:21" ht="18.75">
      <c r="A31" s="754"/>
      <c r="B31" s="754" t="s">
        <v>1748</v>
      </c>
      <c r="C31" s="756">
        <f>C30*22%</f>
        <v>737685.66232900007</v>
      </c>
      <c r="D31" s="756">
        <f t="shared" ref="D31:N31" si="30">D30*22%</f>
        <v>737685.66232900007</v>
      </c>
      <c r="E31" s="756">
        <f t="shared" si="30"/>
        <v>737685.66232900007</v>
      </c>
      <c r="F31" s="756">
        <f t="shared" si="30"/>
        <v>737291.20232900011</v>
      </c>
      <c r="G31" s="756">
        <f t="shared" si="30"/>
        <v>736896.74232900015</v>
      </c>
      <c r="H31" s="756">
        <f t="shared" si="30"/>
        <v>736896.74232900015</v>
      </c>
      <c r="I31" s="756">
        <f t="shared" si="30"/>
        <v>736896.74232900015</v>
      </c>
      <c r="J31" s="756">
        <f t="shared" si="30"/>
        <v>736896.74232900015</v>
      </c>
      <c r="K31" s="756">
        <f t="shared" si="30"/>
        <v>736896.74232900015</v>
      </c>
      <c r="L31" s="756">
        <f t="shared" si="30"/>
        <v>737291.20232900011</v>
      </c>
      <c r="M31" s="756">
        <f t="shared" si="30"/>
        <v>737685.66232900007</v>
      </c>
      <c r="N31" s="756">
        <f t="shared" si="30"/>
        <v>737685.66232900007</v>
      </c>
      <c r="O31" s="757">
        <f>C31+D31+E31</f>
        <v>2213056.9869870003</v>
      </c>
      <c r="P31" s="757">
        <f>F31+G31+H31</f>
        <v>2211084.6869870005</v>
      </c>
      <c r="Q31" s="757">
        <f>I31+J31+K31</f>
        <v>2210690.2269870006</v>
      </c>
      <c r="R31" s="757">
        <f>L31+M31+N31</f>
        <v>2212662.5269870004</v>
      </c>
      <c r="S31" s="757">
        <f>SUM(O31:R31)</f>
        <v>8847494.4279480018</v>
      </c>
    </row>
    <row r="32" spans="1:21" ht="18.75">
      <c r="A32" s="754"/>
      <c r="B32" s="754" t="s">
        <v>1351</v>
      </c>
      <c r="C32" s="756">
        <f>C30+C31</f>
        <v>4090802.3092790004</v>
      </c>
      <c r="D32" s="756">
        <f t="shared" ref="D32:M32" si="31">D30+D31</f>
        <v>4090802.3092790004</v>
      </c>
      <c r="E32" s="756">
        <f t="shared" si="31"/>
        <v>4090802.3092790004</v>
      </c>
      <c r="F32" s="756">
        <f t="shared" si="31"/>
        <v>4088614.8492790004</v>
      </c>
      <c r="G32" s="756">
        <f t="shared" si="31"/>
        <v>4086427.3892790005</v>
      </c>
      <c r="H32" s="756">
        <f t="shared" si="31"/>
        <v>4086427.3892790005</v>
      </c>
      <c r="I32" s="756">
        <f>I30+I31</f>
        <v>4086427.3892790005</v>
      </c>
      <c r="J32" s="756">
        <f t="shared" si="31"/>
        <v>4086427.3892790005</v>
      </c>
      <c r="K32" s="756">
        <f t="shared" si="31"/>
        <v>4086427.3892790005</v>
      </c>
      <c r="L32" s="756">
        <f t="shared" si="31"/>
        <v>4088614.8492790004</v>
      </c>
      <c r="M32" s="756">
        <f t="shared" si="31"/>
        <v>4090802.3092790004</v>
      </c>
      <c r="N32" s="756">
        <f>N30+N31</f>
        <v>4090802.3092790004</v>
      </c>
      <c r="O32" s="757">
        <f>C32+D32+E32</f>
        <v>12272406.927837001</v>
      </c>
      <c r="P32" s="757">
        <f>F32+G32+H32</f>
        <v>12261469.627837002</v>
      </c>
      <c r="Q32" s="757">
        <f>I32+J32+K32</f>
        <v>12259282.167837001</v>
      </c>
      <c r="R32" s="757">
        <f>L32+M32+N32</f>
        <v>12270219.467837002</v>
      </c>
      <c r="S32" s="757">
        <f>SUM(O32:R32)</f>
        <v>49063378.191348001</v>
      </c>
    </row>
    <row r="33" spans="2:21">
      <c r="S33" s="74"/>
    </row>
    <row r="34" spans="2:21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U34" s="74"/>
    </row>
    <row r="35" spans="2:21" ht="18.75">
      <c r="B35" s="758" t="s">
        <v>122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65" t="s">
        <v>124</v>
      </c>
      <c r="P35" s="765" t="s">
        <v>127</v>
      </c>
      <c r="Q35" s="765" t="s">
        <v>128</v>
      </c>
      <c r="R35" s="765" t="s">
        <v>125</v>
      </c>
      <c r="S35" s="765" t="s">
        <v>1517</v>
      </c>
    </row>
    <row r="36" spans="2:21" ht="18.75">
      <c r="B36" s="752" t="s">
        <v>123</v>
      </c>
      <c r="C36" s="759">
        <f>C7+C12</f>
        <v>276832.84694999998</v>
      </c>
      <c r="D36" s="759">
        <f t="shared" ref="D36:M36" si="32">D7+D12</f>
        <v>276832.84694999998</v>
      </c>
      <c r="E36" s="759">
        <f t="shared" si="32"/>
        <v>276832.84694999998</v>
      </c>
      <c r="F36" s="759">
        <f t="shared" si="32"/>
        <v>276832.84694999998</v>
      </c>
      <c r="G36" s="759">
        <f t="shared" si="32"/>
        <v>276832.84694999998</v>
      </c>
      <c r="H36" s="759">
        <f t="shared" si="32"/>
        <v>276832.84694999998</v>
      </c>
      <c r="I36" s="759">
        <f t="shared" si="32"/>
        <v>276832.84694999998</v>
      </c>
      <c r="J36" s="759">
        <f t="shared" si="32"/>
        <v>276832.84694999998</v>
      </c>
      <c r="K36" s="759">
        <f t="shared" si="32"/>
        <v>276832.84694999998</v>
      </c>
      <c r="L36" s="759">
        <f t="shared" si="32"/>
        <v>276832.84694999998</v>
      </c>
      <c r="M36" s="759">
        <f t="shared" si="32"/>
        <v>276832.84694999998</v>
      </c>
      <c r="N36" s="759">
        <f>N7+N12</f>
        <v>276832.84694999998</v>
      </c>
      <c r="O36" s="750">
        <f>C36+D36+E36</f>
        <v>830498.54084999999</v>
      </c>
      <c r="P36" s="750">
        <f>F36+G36+H36</f>
        <v>830498.54084999999</v>
      </c>
      <c r="Q36" s="750">
        <f>I36+J36+K36</f>
        <v>830498.54084999999</v>
      </c>
      <c r="R36" s="750">
        <f>L36+M36+N36</f>
        <v>830498.54084999999</v>
      </c>
      <c r="S36" s="750">
        <f>SUM(O36:R36)</f>
        <v>3321994.1634</v>
      </c>
    </row>
    <row r="37" spans="2:21" ht="18.75">
      <c r="B37" s="752" t="s">
        <v>1466</v>
      </c>
      <c r="C37" s="759">
        <f>C36*22%</f>
        <v>60903.226328999997</v>
      </c>
      <c r="D37" s="759">
        <f t="shared" ref="D37:N37" si="33">D36*22%</f>
        <v>60903.226328999997</v>
      </c>
      <c r="E37" s="759">
        <f t="shared" si="33"/>
        <v>60903.226328999997</v>
      </c>
      <c r="F37" s="759">
        <f t="shared" si="33"/>
        <v>60903.226328999997</v>
      </c>
      <c r="G37" s="759">
        <f t="shared" si="33"/>
        <v>60903.226328999997</v>
      </c>
      <c r="H37" s="759">
        <f t="shared" si="33"/>
        <v>60903.226328999997</v>
      </c>
      <c r="I37" s="759">
        <f t="shared" si="33"/>
        <v>60903.226328999997</v>
      </c>
      <c r="J37" s="759">
        <f t="shared" si="33"/>
        <v>60903.226328999997</v>
      </c>
      <c r="K37" s="759">
        <f t="shared" si="33"/>
        <v>60903.226328999997</v>
      </c>
      <c r="L37" s="759">
        <f t="shared" si="33"/>
        <v>60903.226328999997</v>
      </c>
      <c r="M37" s="759">
        <f t="shared" si="33"/>
        <v>60903.226328999997</v>
      </c>
      <c r="N37" s="759">
        <f t="shared" si="33"/>
        <v>60903.226328999997</v>
      </c>
      <c r="O37" s="759">
        <f>O36*22%</f>
        <v>182709.67898699999</v>
      </c>
      <c r="P37" s="759">
        <f>P36*22%</f>
        <v>182709.67898699999</v>
      </c>
      <c r="Q37" s="759">
        <f>Q36*22%</f>
        <v>182709.67898699999</v>
      </c>
      <c r="R37" s="759">
        <f>R36*22%</f>
        <v>182709.67898699999</v>
      </c>
      <c r="S37" s="759">
        <f>S36*22%</f>
        <v>730838.71594799997</v>
      </c>
    </row>
    <row r="38" spans="2:21" ht="18.75">
      <c r="B38" s="760" t="s">
        <v>1351</v>
      </c>
      <c r="C38" s="759">
        <f>C36+C37</f>
        <v>337736.073279</v>
      </c>
      <c r="D38" s="759">
        <f t="shared" ref="D38:S38" si="34">D36+D37</f>
        <v>337736.073279</v>
      </c>
      <c r="E38" s="759">
        <f t="shared" si="34"/>
        <v>337736.073279</v>
      </c>
      <c r="F38" s="759">
        <f t="shared" si="34"/>
        <v>337736.073279</v>
      </c>
      <c r="G38" s="759">
        <f t="shared" si="34"/>
        <v>337736.073279</v>
      </c>
      <c r="H38" s="759">
        <f t="shared" si="34"/>
        <v>337736.073279</v>
      </c>
      <c r="I38" s="759">
        <f t="shared" si="34"/>
        <v>337736.073279</v>
      </c>
      <c r="J38" s="759">
        <f t="shared" si="34"/>
        <v>337736.073279</v>
      </c>
      <c r="K38" s="759">
        <f t="shared" si="34"/>
        <v>337736.073279</v>
      </c>
      <c r="L38" s="759">
        <f t="shared" si="34"/>
        <v>337736.073279</v>
      </c>
      <c r="M38" s="759">
        <f t="shared" si="34"/>
        <v>337736.073279</v>
      </c>
      <c r="N38" s="759">
        <f t="shared" si="34"/>
        <v>337736.073279</v>
      </c>
      <c r="O38" s="759">
        <f t="shared" si="34"/>
        <v>1013208.219837</v>
      </c>
      <c r="P38" s="759">
        <f t="shared" si="34"/>
        <v>1013208.219837</v>
      </c>
      <c r="Q38" s="759">
        <f t="shared" si="34"/>
        <v>1013208.219837</v>
      </c>
      <c r="R38" s="759">
        <f t="shared" si="34"/>
        <v>1013208.219837</v>
      </c>
      <c r="S38" s="759">
        <f t="shared" si="34"/>
        <v>4052832.879348</v>
      </c>
    </row>
    <row r="39" spans="2:21">
      <c r="F39" s="68"/>
    </row>
    <row r="40" spans="2:21" ht="18.75">
      <c r="F40" s="68"/>
      <c r="N40" s="767" t="s">
        <v>129</v>
      </c>
      <c r="O40" s="768">
        <f t="shared" ref="O40:R41" si="35">O30-O36</f>
        <v>9228851.4000000004</v>
      </c>
      <c r="P40" s="768">
        <f t="shared" si="35"/>
        <v>9219886.4000000004</v>
      </c>
      <c r="Q40" s="768">
        <f t="shared" si="35"/>
        <v>9218093.4000000004</v>
      </c>
      <c r="R40" s="768">
        <f t="shared" si="35"/>
        <v>9227058.4000000004</v>
      </c>
      <c r="S40" s="768">
        <f>O40+P40+Q40+R40</f>
        <v>36893889.600000001</v>
      </c>
    </row>
    <row r="41" spans="2:21" ht="18.75">
      <c r="F41" s="68"/>
      <c r="N41" s="767" t="s">
        <v>130</v>
      </c>
      <c r="O41" s="768">
        <f t="shared" si="35"/>
        <v>2030347.3080000004</v>
      </c>
      <c r="P41" s="768">
        <f t="shared" si="35"/>
        <v>2028375.0080000006</v>
      </c>
      <c r="Q41" s="768">
        <f t="shared" si="35"/>
        <v>2027980.5480000007</v>
      </c>
      <c r="R41" s="768">
        <f t="shared" si="35"/>
        <v>2029952.8480000005</v>
      </c>
      <c r="S41" s="768">
        <f>O41+P41+Q41+R41</f>
        <v>8116655.7120000022</v>
      </c>
    </row>
    <row r="43" spans="2:21">
      <c r="S43" s="74" t="b">
        <f>S38+S40+S41=S32</f>
        <v>1</v>
      </c>
    </row>
    <row r="44" spans="2:21" ht="21">
      <c r="L44" s="74"/>
      <c r="S44" s="766"/>
    </row>
    <row r="46" spans="2:21">
      <c r="S46" s="74"/>
    </row>
    <row r="47" spans="2:21" ht="21">
      <c r="S47" s="762"/>
    </row>
  </sheetData>
  <mergeCells count="1">
    <mergeCell ref="B1:R1"/>
  </mergeCells>
  <phoneticPr fontId="55" type="noConversion"/>
  <pageMargins left="0.7" right="0.7" top="0.75" bottom="0.75" header="0.3" footer="0.3"/>
  <pageSetup paperSize="9" scale="2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631"/>
  <sheetViews>
    <sheetView view="pageBreakPreview" zoomScale="40" zoomScaleNormal="35" zoomScaleSheetLayoutView="40" workbookViewId="0">
      <selection activeCell="C4" sqref="C4:D6"/>
    </sheetView>
  </sheetViews>
  <sheetFormatPr defaultRowHeight="33.75"/>
  <cols>
    <col min="1" max="1" width="2.28515625" style="65" customWidth="1"/>
    <col min="2" max="2" width="15.42578125" style="84" bestFit="1" customWidth="1"/>
    <col min="3" max="3" width="89.5703125" style="137" customWidth="1"/>
    <col min="4" max="4" width="71.42578125" style="178" customWidth="1"/>
    <col min="5" max="5" width="45.140625" style="163" customWidth="1"/>
    <col min="6" max="6" width="8.7109375" style="163" customWidth="1"/>
    <col min="7" max="7" width="23.28515625" style="163" customWidth="1"/>
    <col min="8" max="8" width="14" style="739" customWidth="1"/>
    <col min="9" max="9" width="20.7109375" style="163" customWidth="1"/>
    <col min="10" max="10" width="10.28515625" style="739" customWidth="1"/>
    <col min="11" max="11" width="19.7109375" style="163" customWidth="1"/>
    <col min="12" max="12" width="15.7109375" style="163" customWidth="1"/>
    <col min="13" max="13" width="10.7109375" style="739" customWidth="1"/>
    <col min="14" max="14" width="21.5703125" style="163" customWidth="1"/>
    <col min="15" max="15" width="10.85546875" style="739" customWidth="1"/>
    <col min="16" max="16" width="21.28515625" style="163" customWidth="1"/>
    <col min="17" max="17" width="12" style="163" customWidth="1"/>
    <col min="18" max="18" width="25.42578125" style="163" customWidth="1"/>
    <col min="19" max="20" width="19.140625" style="156" customWidth="1"/>
    <col min="21" max="21" width="12.28515625" style="163" customWidth="1"/>
    <col min="22" max="22" width="10.5703125" style="740" customWidth="1"/>
    <col min="23" max="23" width="20.5703125" style="163" customWidth="1"/>
    <col min="24" max="24" width="10.85546875" style="740" customWidth="1"/>
    <col min="25" max="25" width="11.28515625" style="740" customWidth="1"/>
    <col min="26" max="26" width="22.85546875" style="163" customWidth="1"/>
    <col min="27" max="27" width="25.5703125" style="163" customWidth="1"/>
    <col min="28" max="28" width="34.28515625" style="163" customWidth="1"/>
    <col min="29" max="30" width="28" style="139" customWidth="1"/>
    <col min="31" max="31" width="39.140625" style="155" customWidth="1"/>
    <col min="32" max="32" width="44.140625" style="155" customWidth="1"/>
    <col min="33" max="33" width="33.5703125" style="140" customWidth="1"/>
    <col min="34" max="34" width="28.140625" style="138" customWidth="1"/>
    <col min="35" max="35" width="25.85546875" style="141" hidden="1" customWidth="1"/>
    <col min="36" max="36" width="22.7109375" style="141" hidden="1" customWidth="1"/>
    <col min="37" max="37" width="25.85546875" style="141" hidden="1" customWidth="1"/>
    <col min="38" max="38" width="22.28515625" style="141" hidden="1" customWidth="1"/>
    <col min="39" max="39" width="21.42578125" style="141" hidden="1" customWidth="1"/>
    <col min="40" max="40" width="21.7109375" style="141" hidden="1" customWidth="1"/>
    <col min="41" max="41" width="21.42578125" style="154" hidden="1" customWidth="1"/>
    <col min="42" max="42" width="28.85546875" style="141" hidden="1" customWidth="1"/>
    <col min="43" max="43" width="29.85546875" style="154" hidden="1" customWidth="1"/>
    <col min="44" max="44" width="18.5703125" style="154" hidden="1" customWidth="1"/>
    <col min="45" max="45" width="28.85546875" style="141" hidden="1" customWidth="1"/>
    <col min="46" max="46" width="25.7109375" style="141" hidden="1" customWidth="1"/>
    <col min="47" max="47" width="22.7109375" style="141" hidden="1" customWidth="1"/>
    <col min="48" max="48" width="20.7109375" style="141" hidden="1" customWidth="1"/>
    <col min="49" max="49" width="28.85546875" style="141" customWidth="1"/>
    <col min="50" max="50" width="24.28515625" style="65" customWidth="1"/>
    <col min="51" max="51" width="31.140625" style="65" customWidth="1"/>
    <col min="52" max="52" width="9.140625" style="65"/>
    <col min="53" max="53" width="14.42578125" style="65" bestFit="1" customWidth="1"/>
    <col min="54" max="16384" width="9.140625" style="65"/>
  </cols>
  <sheetData>
    <row r="1" spans="2:53" s="60" customFormat="1" ht="45">
      <c r="B1" s="80"/>
      <c r="C1" s="133"/>
      <c r="D1" s="174"/>
      <c r="E1" s="156"/>
      <c r="F1" s="156"/>
      <c r="G1" s="156"/>
      <c r="H1" s="671"/>
      <c r="I1" s="156"/>
      <c r="J1" s="671"/>
      <c r="K1" s="156"/>
      <c r="L1" s="156"/>
      <c r="M1" s="671"/>
      <c r="N1" s="156"/>
      <c r="O1" s="671"/>
      <c r="P1" s="156"/>
      <c r="Q1" s="156"/>
      <c r="R1" s="156"/>
      <c r="S1" s="156"/>
      <c r="T1" s="156"/>
      <c r="U1" s="156"/>
      <c r="V1" s="671"/>
      <c r="W1" s="156"/>
      <c r="X1" s="671"/>
      <c r="Y1" s="671"/>
      <c r="Z1" s="156"/>
      <c r="AA1" s="156"/>
      <c r="AB1" s="156"/>
      <c r="AC1" s="139"/>
      <c r="AD1" s="139"/>
      <c r="AE1" s="138"/>
      <c r="AF1" s="138"/>
      <c r="AG1" s="140"/>
      <c r="AH1" s="138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</row>
    <row r="2" spans="2:53" s="61" customFormat="1" ht="64.5">
      <c r="B2" s="81"/>
      <c r="C2" s="978" t="s">
        <v>362</v>
      </c>
      <c r="D2" s="978"/>
      <c r="E2" s="979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142"/>
      <c r="AD2" s="142"/>
      <c r="AE2" s="143"/>
      <c r="AF2" s="143"/>
      <c r="AG2" s="144"/>
      <c r="AH2" s="145"/>
      <c r="AI2" s="146"/>
      <c r="AJ2" s="147"/>
      <c r="AK2" s="148"/>
      <c r="AL2" s="146"/>
      <c r="AM2" s="147"/>
      <c r="AN2" s="146"/>
      <c r="AO2" s="146"/>
      <c r="AP2" s="146"/>
      <c r="AQ2" s="146"/>
      <c r="AR2" s="146"/>
      <c r="AS2" s="146"/>
      <c r="AT2" s="146"/>
      <c r="AU2" s="146"/>
      <c r="AV2" s="146"/>
      <c r="AW2" s="146"/>
    </row>
    <row r="3" spans="2:53" s="62" customFormat="1" ht="33">
      <c r="B3" s="82"/>
      <c r="C3" s="134"/>
      <c r="D3" s="175"/>
      <c r="E3" s="157"/>
      <c r="F3" s="157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672"/>
      <c r="Y3" s="672"/>
      <c r="Z3" s="157"/>
      <c r="AA3" s="157"/>
      <c r="AB3" s="157"/>
      <c r="AC3" s="142"/>
      <c r="AD3" s="142"/>
      <c r="AE3" s="143"/>
      <c r="AF3" s="143"/>
      <c r="AG3" s="144"/>
      <c r="AH3" s="143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</row>
    <row r="4" spans="2:53" s="673" customFormat="1" ht="128.25" customHeight="1">
      <c r="B4" s="975"/>
      <c r="C4" s="975" t="s">
        <v>1611</v>
      </c>
      <c r="D4" s="976"/>
      <c r="E4" s="975" t="s">
        <v>1612</v>
      </c>
      <c r="F4" s="977" t="s">
        <v>1613</v>
      </c>
      <c r="G4" s="967" t="s">
        <v>1614</v>
      </c>
      <c r="H4" s="967"/>
      <c r="I4" s="967"/>
      <c r="J4" s="967"/>
      <c r="K4" s="967"/>
      <c r="L4" s="967"/>
      <c r="M4" s="967"/>
      <c r="N4" s="967"/>
      <c r="O4" s="967"/>
      <c r="P4" s="967"/>
      <c r="Q4" s="967"/>
      <c r="R4" s="967"/>
      <c r="S4" s="967" t="s">
        <v>1615</v>
      </c>
      <c r="T4" s="967"/>
      <c r="U4" s="967" t="s">
        <v>1616</v>
      </c>
      <c r="V4" s="967"/>
      <c r="W4" s="967"/>
      <c r="X4" s="967" t="s">
        <v>1617</v>
      </c>
      <c r="Y4" s="967"/>
      <c r="Z4" s="967"/>
      <c r="AA4" s="967" t="s">
        <v>1618</v>
      </c>
      <c r="AB4" s="967" t="s">
        <v>1619</v>
      </c>
      <c r="AC4" s="964" t="s">
        <v>1308</v>
      </c>
      <c r="AD4" s="964" t="s">
        <v>1619</v>
      </c>
      <c r="AE4" s="968" t="s">
        <v>1308</v>
      </c>
      <c r="AF4" s="968" t="s">
        <v>1619</v>
      </c>
      <c r="AG4" s="969" t="s">
        <v>1620</v>
      </c>
      <c r="AH4" s="968" t="s">
        <v>1618</v>
      </c>
      <c r="AI4" s="966" t="s">
        <v>1621</v>
      </c>
      <c r="AJ4" s="970"/>
      <c r="AK4" s="970"/>
      <c r="AL4" s="970"/>
      <c r="AM4" s="970"/>
      <c r="AN4" s="970"/>
      <c r="AO4" s="966" t="s">
        <v>1622</v>
      </c>
      <c r="AP4" s="966"/>
      <c r="AQ4" s="966" t="s">
        <v>1618</v>
      </c>
      <c r="AR4" s="966" t="s">
        <v>1623</v>
      </c>
      <c r="AS4" s="966"/>
      <c r="AT4" s="966" t="s">
        <v>1624</v>
      </c>
      <c r="AU4" s="970"/>
      <c r="AV4" s="970"/>
      <c r="AW4" s="970"/>
      <c r="AX4" s="963" t="s">
        <v>95</v>
      </c>
    </row>
    <row r="5" spans="2:53" s="673" customFormat="1" ht="39.75" customHeight="1">
      <c r="B5" s="975"/>
      <c r="C5" s="975"/>
      <c r="D5" s="976"/>
      <c r="E5" s="975"/>
      <c r="F5" s="977"/>
      <c r="G5" s="967" t="s">
        <v>1625</v>
      </c>
      <c r="H5" s="674"/>
      <c r="I5" s="967" t="s">
        <v>1626</v>
      </c>
      <c r="J5" s="967"/>
      <c r="K5" s="971"/>
      <c r="L5" s="971"/>
      <c r="M5" s="971"/>
      <c r="N5" s="971"/>
      <c r="O5" s="971"/>
      <c r="P5" s="971"/>
      <c r="Q5" s="971"/>
      <c r="R5" s="967" t="s">
        <v>1627</v>
      </c>
      <c r="S5" s="972" t="s">
        <v>1628</v>
      </c>
      <c r="T5" s="972" t="s">
        <v>1629</v>
      </c>
      <c r="U5" s="973" t="s">
        <v>1630</v>
      </c>
      <c r="V5" s="967" t="s">
        <v>1631</v>
      </c>
      <c r="W5" s="967"/>
      <c r="X5" s="974" t="s">
        <v>1632</v>
      </c>
      <c r="Y5" s="967" t="s">
        <v>1633</v>
      </c>
      <c r="Z5" s="967"/>
      <c r="AA5" s="967"/>
      <c r="AB5" s="967"/>
      <c r="AC5" s="964"/>
      <c r="AD5" s="964"/>
      <c r="AE5" s="968"/>
      <c r="AF5" s="968"/>
      <c r="AG5" s="969"/>
      <c r="AH5" s="968"/>
      <c r="AI5" s="970"/>
      <c r="AJ5" s="970"/>
      <c r="AK5" s="970"/>
      <c r="AL5" s="970"/>
      <c r="AM5" s="970"/>
      <c r="AN5" s="970"/>
      <c r="AO5" s="966"/>
      <c r="AP5" s="966"/>
      <c r="AQ5" s="966"/>
      <c r="AR5" s="966"/>
      <c r="AS5" s="966"/>
      <c r="AT5" s="970"/>
      <c r="AU5" s="970"/>
      <c r="AV5" s="970"/>
      <c r="AW5" s="970"/>
      <c r="AX5" s="963"/>
    </row>
    <row r="6" spans="2:53" s="618" customFormat="1" ht="377.25" customHeight="1">
      <c r="B6" s="975"/>
      <c r="C6" s="975"/>
      <c r="D6" s="976"/>
      <c r="E6" s="975"/>
      <c r="F6" s="977"/>
      <c r="G6" s="967"/>
      <c r="H6" s="675" t="s">
        <v>1683</v>
      </c>
      <c r="I6" s="857" t="s">
        <v>1634</v>
      </c>
      <c r="J6" s="675" t="s">
        <v>1683</v>
      </c>
      <c r="K6" s="857" t="s">
        <v>1635</v>
      </c>
      <c r="L6" s="857" t="s">
        <v>1636</v>
      </c>
      <c r="M6" s="675" t="s">
        <v>1683</v>
      </c>
      <c r="N6" s="857" t="s">
        <v>1637</v>
      </c>
      <c r="O6" s="675" t="s">
        <v>1683</v>
      </c>
      <c r="P6" s="858" t="s">
        <v>1638</v>
      </c>
      <c r="Q6" s="858" t="s">
        <v>1639</v>
      </c>
      <c r="R6" s="967"/>
      <c r="S6" s="972"/>
      <c r="T6" s="972"/>
      <c r="U6" s="973"/>
      <c r="V6" s="676" t="s">
        <v>1640</v>
      </c>
      <c r="W6" s="677" t="s">
        <v>1641</v>
      </c>
      <c r="X6" s="974"/>
      <c r="Y6" s="855" t="s">
        <v>1640</v>
      </c>
      <c r="Z6" s="858" t="s">
        <v>1642</v>
      </c>
      <c r="AA6" s="967"/>
      <c r="AB6" s="967"/>
      <c r="AC6" s="964"/>
      <c r="AD6" s="964"/>
      <c r="AE6" s="968"/>
      <c r="AF6" s="968"/>
      <c r="AG6" s="969"/>
      <c r="AH6" s="968"/>
      <c r="AI6" s="963" t="s">
        <v>1643</v>
      </c>
      <c r="AJ6" s="963"/>
      <c r="AK6" s="963" t="s">
        <v>1644</v>
      </c>
      <c r="AL6" s="963"/>
      <c r="AM6" s="963" t="s">
        <v>1645</v>
      </c>
      <c r="AN6" s="963"/>
      <c r="AO6" s="966"/>
      <c r="AP6" s="966"/>
      <c r="AQ6" s="966"/>
      <c r="AR6" s="966"/>
      <c r="AS6" s="966"/>
      <c r="AT6" s="963" t="s">
        <v>1646</v>
      </c>
      <c r="AU6" s="963"/>
      <c r="AV6" s="853" t="s">
        <v>1647</v>
      </c>
      <c r="AW6" s="165" t="s">
        <v>1648</v>
      </c>
      <c r="AX6" s="963"/>
    </row>
    <row r="7" spans="2:53" s="681" customFormat="1" ht="27.75">
      <c r="B7" s="856" t="s">
        <v>1682</v>
      </c>
      <c r="C7" s="975" t="s">
        <v>1649</v>
      </c>
      <c r="D7" s="976"/>
      <c r="E7" s="856" t="s">
        <v>1650</v>
      </c>
      <c r="F7" s="856" t="s">
        <v>1651</v>
      </c>
      <c r="G7" s="854">
        <v>5</v>
      </c>
      <c r="H7" s="678"/>
      <c r="I7" s="856" t="s">
        <v>1652</v>
      </c>
      <c r="J7" s="678"/>
      <c r="K7" s="856" t="s">
        <v>1653</v>
      </c>
      <c r="L7" s="856" t="s">
        <v>1654</v>
      </c>
      <c r="M7" s="678"/>
      <c r="N7" s="856" t="s">
        <v>1655</v>
      </c>
      <c r="O7" s="678"/>
      <c r="P7" s="854">
        <v>10</v>
      </c>
      <c r="Q7" s="854">
        <v>11</v>
      </c>
      <c r="R7" s="854">
        <v>12</v>
      </c>
      <c r="S7" s="854">
        <v>13</v>
      </c>
      <c r="T7" s="854">
        <v>14</v>
      </c>
      <c r="U7" s="854">
        <v>15</v>
      </c>
      <c r="V7" s="674">
        <v>16</v>
      </c>
      <c r="W7" s="854">
        <v>17</v>
      </c>
      <c r="X7" s="674">
        <v>18</v>
      </c>
      <c r="Y7" s="674">
        <v>19</v>
      </c>
      <c r="Z7" s="854">
        <v>20</v>
      </c>
      <c r="AA7" s="854">
        <v>21</v>
      </c>
      <c r="AB7" s="854">
        <v>22</v>
      </c>
      <c r="AC7" s="131"/>
      <c r="AD7" s="131"/>
      <c r="AE7" s="854"/>
      <c r="AF7" s="854"/>
      <c r="AG7" s="131">
        <v>21</v>
      </c>
      <c r="AH7" s="854">
        <v>21</v>
      </c>
      <c r="AI7" s="679"/>
      <c r="AJ7" s="679"/>
      <c r="AK7" s="679"/>
      <c r="AL7" s="679"/>
      <c r="AM7" s="679"/>
      <c r="AN7" s="679"/>
      <c r="AO7" s="679"/>
      <c r="AP7" s="679"/>
      <c r="AQ7" s="679"/>
      <c r="AR7" s="679"/>
      <c r="AS7" s="679"/>
      <c r="AT7" s="679"/>
      <c r="AU7" s="679"/>
      <c r="AV7" s="679"/>
      <c r="AW7" s="679"/>
      <c r="AX7" s="680"/>
    </row>
    <row r="8" spans="2:53" s="618" customFormat="1" ht="33">
      <c r="B8" s="179"/>
      <c r="C8" s="179" t="s">
        <v>1656</v>
      </c>
      <c r="D8" s="180"/>
      <c r="E8" s="181"/>
      <c r="F8" s="181"/>
      <c r="G8" s="181"/>
      <c r="H8" s="682"/>
      <c r="I8" s="181"/>
      <c r="J8" s="682"/>
      <c r="K8" s="181"/>
      <c r="L8" s="181"/>
      <c r="M8" s="682"/>
      <c r="N8" s="181"/>
      <c r="O8" s="682"/>
      <c r="P8" s="181"/>
      <c r="Q8" s="181"/>
      <c r="R8" s="181"/>
      <c r="S8" s="181"/>
      <c r="T8" s="181"/>
      <c r="U8" s="181"/>
      <c r="V8" s="683"/>
      <c r="W8" s="181"/>
      <c r="X8" s="683"/>
      <c r="Y8" s="683"/>
      <c r="Z8" s="181"/>
      <c r="AA8" s="181"/>
      <c r="AB8" s="181"/>
      <c r="AC8" s="183"/>
      <c r="AD8" s="183"/>
      <c r="AE8" s="183"/>
      <c r="AF8" s="183"/>
      <c r="AG8" s="183"/>
      <c r="AH8" s="183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684"/>
    </row>
    <row r="9" spans="2:53" s="619" customFormat="1" ht="33">
      <c r="B9" s="179"/>
      <c r="C9" s="179" t="s">
        <v>1777</v>
      </c>
      <c r="D9" s="180"/>
      <c r="E9" s="181"/>
      <c r="F9" s="181"/>
      <c r="G9" s="181"/>
      <c r="H9" s="682"/>
      <c r="I9" s="181"/>
      <c r="J9" s="682"/>
      <c r="K9" s="181"/>
      <c r="L9" s="181"/>
      <c r="M9" s="682"/>
      <c r="N9" s="181"/>
      <c r="O9" s="682"/>
      <c r="P9" s="181"/>
      <c r="Q9" s="181"/>
      <c r="R9" s="181"/>
      <c r="S9" s="181"/>
      <c r="T9" s="181"/>
      <c r="U9" s="181"/>
      <c r="V9" s="683"/>
      <c r="W9" s="181"/>
      <c r="X9" s="683"/>
      <c r="Y9" s="683"/>
      <c r="Z9" s="181"/>
      <c r="AA9" s="181"/>
      <c r="AB9" s="181"/>
      <c r="AC9" s="183"/>
      <c r="AD9" s="183"/>
      <c r="AE9" s="183"/>
      <c r="AF9" s="183"/>
      <c r="AG9" s="196"/>
      <c r="AH9" s="183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685"/>
    </row>
    <row r="10" spans="2:53" s="619" customFormat="1" ht="58.5" hidden="1" customHeight="1">
      <c r="B10" s="660"/>
      <c r="C10" s="185"/>
      <c r="D10" s="186" t="s">
        <v>1657</v>
      </c>
      <c r="E10" s="660" t="s">
        <v>1606</v>
      </c>
      <c r="F10" s="660">
        <v>16</v>
      </c>
      <c r="G10" s="187">
        <v>8914</v>
      </c>
      <c r="H10" s="686">
        <v>0.44900000000000001</v>
      </c>
      <c r="I10" s="187">
        <f>3195*H10</f>
        <v>1434.5550000000001</v>
      </c>
      <c r="J10" s="687"/>
      <c r="K10" s="187"/>
      <c r="L10" s="187"/>
      <c r="M10" s="687"/>
      <c r="N10" s="187"/>
      <c r="O10" s="687"/>
      <c r="P10" s="660"/>
      <c r="Q10" s="660"/>
      <c r="R10" s="188">
        <f>G10+I10+K10+L10+N10+P10+Q10</f>
        <v>10348.555</v>
      </c>
      <c r="S10" s="660" t="s">
        <v>1658</v>
      </c>
      <c r="T10" s="660"/>
      <c r="U10" s="660"/>
      <c r="V10" s="674"/>
      <c r="W10" s="660"/>
      <c r="X10" s="674">
        <v>34</v>
      </c>
      <c r="Y10" s="688">
        <v>0.3</v>
      </c>
      <c r="Z10" s="187">
        <f>R10*Y10</f>
        <v>3104.5664999999999</v>
      </c>
      <c r="AA10" s="187"/>
      <c r="AB10" s="187">
        <f>R10</f>
        <v>10348.555</v>
      </c>
      <c r="AC10" s="689"/>
      <c r="AD10" s="689">
        <f>T10</f>
        <v>0</v>
      </c>
      <c r="AE10" s="190"/>
      <c r="AF10" s="190">
        <f>V10</f>
        <v>0</v>
      </c>
      <c r="AG10" s="689"/>
      <c r="AH10" s="190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685"/>
    </row>
    <row r="11" spans="2:53" s="69" customFormat="1" ht="58.5" hidden="1" customHeight="1">
      <c r="B11" s="660"/>
      <c r="C11" s="185"/>
      <c r="D11" s="186" t="s">
        <v>1659</v>
      </c>
      <c r="E11" s="660" t="s">
        <v>1660</v>
      </c>
      <c r="F11" s="660">
        <v>14</v>
      </c>
      <c r="G11" s="187">
        <v>7732</v>
      </c>
      <c r="H11" s="686">
        <v>0.25</v>
      </c>
      <c r="I11" s="187">
        <f>G11*H11</f>
        <v>1933</v>
      </c>
      <c r="J11" s="688">
        <v>0.4</v>
      </c>
      <c r="K11" s="192">
        <f>(G11+I11)*J11</f>
        <v>3866</v>
      </c>
      <c r="L11" s="660"/>
      <c r="M11" s="674"/>
      <c r="N11" s="660"/>
      <c r="O11" s="674"/>
      <c r="P11" s="660"/>
      <c r="Q11" s="660"/>
      <c r="R11" s="188">
        <f>G11+I11+K11+L11+N11+P11+Q11</f>
        <v>13531</v>
      </c>
      <c r="S11" s="187">
        <v>1</v>
      </c>
      <c r="T11" s="187"/>
      <c r="U11" s="660"/>
      <c r="V11" s="674"/>
      <c r="W11" s="660"/>
      <c r="X11" s="674">
        <v>32</v>
      </c>
      <c r="Y11" s="688">
        <v>0.3</v>
      </c>
      <c r="Z11" s="187">
        <f>R11*Y11</f>
        <v>4059.2999999999997</v>
      </c>
      <c r="AA11" s="187"/>
      <c r="AB11" s="187">
        <f t="shared" ref="AB11:AB17" si="0">(R11+Z11)*S11</f>
        <v>17590.3</v>
      </c>
      <c r="AC11" s="689"/>
      <c r="AD11" s="689">
        <f>(T11+AB11)*U11</f>
        <v>0</v>
      </c>
      <c r="AE11" s="190"/>
      <c r="AF11" s="190">
        <f>(V11+AD11)*W11</f>
        <v>0</v>
      </c>
      <c r="AG11" s="689">
        <f>7100*S11</f>
        <v>7100</v>
      </c>
      <c r="AH11" s="190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690"/>
      <c r="AY11" s="619"/>
      <c r="AZ11" s="619"/>
      <c r="BA11" s="619"/>
    </row>
    <row r="12" spans="2:53" s="69" customFormat="1" ht="58.5">
      <c r="B12" s="660">
        <v>1</v>
      </c>
      <c r="C12" s="185" t="s">
        <v>1279</v>
      </c>
      <c r="D12" s="186" t="s">
        <v>203</v>
      </c>
      <c r="E12" s="660" t="s">
        <v>1606</v>
      </c>
      <c r="F12" s="660"/>
      <c r="G12" s="187">
        <f>R11</f>
        <v>13531</v>
      </c>
      <c r="H12" s="686">
        <v>0.44900000000000001</v>
      </c>
      <c r="I12" s="706">
        <f>3195*H12</f>
        <v>1434.5550000000001</v>
      </c>
      <c r="J12" s="674"/>
      <c r="K12" s="660"/>
      <c r="L12" s="660"/>
      <c r="M12" s="688">
        <v>0.15</v>
      </c>
      <c r="N12" s="187">
        <f>(G12+I12)*M12</f>
        <v>2244.8332500000001</v>
      </c>
      <c r="O12" s="687"/>
      <c r="P12" s="660"/>
      <c r="Q12" s="660"/>
      <c r="R12" s="187">
        <f>G12+I12+K12+L12+N12+P12+Q12</f>
        <v>17210.38825</v>
      </c>
      <c r="S12" s="187">
        <v>1</v>
      </c>
      <c r="T12" s="660"/>
      <c r="U12" s="660"/>
      <c r="V12" s="674"/>
      <c r="W12" s="660"/>
      <c r="X12" s="674">
        <v>35</v>
      </c>
      <c r="Y12" s="688">
        <v>0.3</v>
      </c>
      <c r="Z12" s="187">
        <f>R12*Y12*S12</f>
        <v>5163.1164749999998</v>
      </c>
      <c r="AA12" s="187"/>
      <c r="AB12" s="187">
        <f t="shared" si="0"/>
        <v>22373.504724999999</v>
      </c>
      <c r="AC12" s="689"/>
      <c r="AD12" s="689">
        <f t="shared" ref="AD12:AD18" si="1">AB12+AC12</f>
        <v>22373.504724999999</v>
      </c>
      <c r="AE12" s="190">
        <f>AD12</f>
        <v>22373.504724999999</v>
      </c>
      <c r="AF12" s="190">
        <f t="shared" ref="AF12:AF17" si="2">AE12-AB12</f>
        <v>0</v>
      </c>
      <c r="AG12" s="689">
        <f>8000*S12</f>
        <v>8000</v>
      </c>
      <c r="AH12" s="190"/>
      <c r="AI12" s="191">
        <f t="shared" ref="AI12:AI18" si="3">G12*S12</f>
        <v>13531</v>
      </c>
      <c r="AJ12" s="191">
        <f t="shared" ref="AJ12:AJ18" si="4">G12*T12</f>
        <v>0</v>
      </c>
      <c r="AK12" s="191">
        <f>R12*S12</f>
        <v>17210.38825</v>
      </c>
      <c r="AL12" s="191">
        <f>R12*T12</f>
        <v>0</v>
      </c>
      <c r="AM12" s="191">
        <f>AK12-AI12</f>
        <v>3679.38825</v>
      </c>
      <c r="AN12" s="191">
        <f t="shared" ref="AM12:AN18" si="5">AL12-AJ12</f>
        <v>0</v>
      </c>
      <c r="AO12" s="193">
        <f>Z12*S12</f>
        <v>5163.1164749999998</v>
      </c>
      <c r="AP12" s="193">
        <f t="shared" ref="AP12:AP18" si="6">Z12*T12</f>
        <v>0</v>
      </c>
      <c r="AQ12" s="193">
        <f t="shared" ref="AQ12:AQ18" si="7">AA12</f>
        <v>0</v>
      </c>
      <c r="AR12" s="193">
        <f t="shared" ref="AR12:AR18" si="8">W12*S12</f>
        <v>0</v>
      </c>
      <c r="AS12" s="193">
        <f t="shared" ref="AS12:AS18" si="9">W12*T12</f>
        <v>0</v>
      </c>
      <c r="AT12" s="197">
        <f>AK12</f>
        <v>17210.38825</v>
      </c>
      <c r="AU12" s="197">
        <f>AL12</f>
        <v>0</v>
      </c>
      <c r="AV12" s="191"/>
      <c r="AW12" s="236">
        <f>R12*S12</f>
        <v>17210.38825</v>
      </c>
      <c r="AX12" s="690"/>
      <c r="AY12" s="619"/>
      <c r="AZ12" s="619"/>
      <c r="BA12" s="619"/>
    </row>
    <row r="13" spans="2:53" s="69" customFormat="1" ht="58.5">
      <c r="B13" s="660">
        <f>1+B12</f>
        <v>2</v>
      </c>
      <c r="C13" s="185" t="s">
        <v>1280</v>
      </c>
      <c r="D13" s="186" t="s">
        <v>203</v>
      </c>
      <c r="E13" s="660" t="s">
        <v>1661</v>
      </c>
      <c r="F13" s="660"/>
      <c r="G13" s="187">
        <f>(G12*90%)</f>
        <v>12177.9</v>
      </c>
      <c r="H13" s="686">
        <v>0.44900000000000001</v>
      </c>
      <c r="I13" s="706">
        <f>3195*H13</f>
        <v>1434.5550000000001</v>
      </c>
      <c r="J13" s="674"/>
      <c r="K13" s="660"/>
      <c r="L13" s="660"/>
      <c r="M13" s="688">
        <v>0.15</v>
      </c>
      <c r="N13" s="187">
        <f>(G13+I13)*M13</f>
        <v>2041.86825</v>
      </c>
      <c r="O13" s="687"/>
      <c r="P13" s="660"/>
      <c r="Q13" s="660"/>
      <c r="R13" s="187">
        <f>G13+I13+K13+L13+N13+P13+Q13+0.005</f>
        <v>15654.328249999999</v>
      </c>
      <c r="S13" s="187">
        <v>1</v>
      </c>
      <c r="T13" s="660"/>
      <c r="U13" s="660"/>
      <c r="V13" s="674"/>
      <c r="W13" s="660"/>
      <c r="X13" s="674">
        <v>20</v>
      </c>
      <c r="Y13" s="688">
        <v>0.3</v>
      </c>
      <c r="Z13" s="187">
        <f>R13*Y13*S13</f>
        <v>4696.2984749999996</v>
      </c>
      <c r="AA13" s="187"/>
      <c r="AB13" s="187">
        <f t="shared" si="0"/>
        <v>20350.626724999998</v>
      </c>
      <c r="AC13" s="689"/>
      <c r="AD13" s="689">
        <f t="shared" si="1"/>
        <v>20350.626724999998</v>
      </c>
      <c r="AE13" s="190">
        <f>20000*S13</f>
        <v>20000</v>
      </c>
      <c r="AF13" s="190">
        <f>AE13-AB13</f>
        <v>-350.62672499999826</v>
      </c>
      <c r="AG13" s="689">
        <f>8000*S13</f>
        <v>8000</v>
      </c>
      <c r="AH13" s="190"/>
      <c r="AI13" s="191">
        <f t="shared" si="3"/>
        <v>12177.9</v>
      </c>
      <c r="AJ13" s="191">
        <f t="shared" si="4"/>
        <v>0</v>
      </c>
      <c r="AK13" s="191">
        <f t="shared" ref="AK13:AK18" si="10">R13*S13</f>
        <v>15654.328249999999</v>
      </c>
      <c r="AL13" s="191">
        <f t="shared" ref="AL13:AL18" si="11">R13*T13</f>
        <v>0</v>
      </c>
      <c r="AM13" s="191">
        <f t="shared" si="5"/>
        <v>3476.428249999999</v>
      </c>
      <c r="AN13" s="191">
        <f t="shared" si="5"/>
        <v>0</v>
      </c>
      <c r="AO13" s="193">
        <f t="shared" ref="AO13:AO18" si="12">Z13*S13</f>
        <v>4696.2984749999996</v>
      </c>
      <c r="AP13" s="193">
        <f t="shared" si="6"/>
        <v>0</v>
      </c>
      <c r="AQ13" s="193">
        <f t="shared" si="7"/>
        <v>0</v>
      </c>
      <c r="AR13" s="193">
        <f t="shared" si="8"/>
        <v>0</v>
      </c>
      <c r="AS13" s="193">
        <f t="shared" si="9"/>
        <v>0</v>
      </c>
      <c r="AT13" s="197">
        <f t="shared" ref="AT13:AU85" si="13">AK13</f>
        <v>15654.328249999999</v>
      </c>
      <c r="AU13" s="197">
        <f t="shared" si="13"/>
        <v>0</v>
      </c>
      <c r="AV13" s="191"/>
      <c r="AW13" s="236">
        <f t="shared" ref="AW13:AW24" si="14">R13*S13</f>
        <v>15654.328249999999</v>
      </c>
      <c r="AX13" s="690"/>
      <c r="AY13" s="619"/>
      <c r="AZ13" s="619"/>
      <c r="BA13" s="619"/>
    </row>
    <row r="14" spans="2:53" s="69" customFormat="1" ht="63">
      <c r="B14" s="660">
        <f>1+B13</f>
        <v>3</v>
      </c>
      <c r="C14" s="185" t="s">
        <v>1281</v>
      </c>
      <c r="D14" s="186" t="s">
        <v>204</v>
      </c>
      <c r="E14" s="660" t="s">
        <v>1669</v>
      </c>
      <c r="F14" s="660"/>
      <c r="G14" s="187">
        <f>(G13*85%)</f>
        <v>10351.215</v>
      </c>
      <c r="H14" s="686"/>
      <c r="I14" s="706"/>
      <c r="J14" s="674"/>
      <c r="K14" s="660"/>
      <c r="L14" s="660"/>
      <c r="M14" s="688">
        <v>0.15</v>
      </c>
      <c r="N14" s="187">
        <f>(G14+I14)*M14</f>
        <v>1552.6822500000001</v>
      </c>
      <c r="O14" s="687"/>
      <c r="P14" s="660"/>
      <c r="Q14" s="660"/>
      <c r="R14" s="187">
        <f>G14+I14+K14+L14+N14+P14+Q14+0.01</f>
        <v>11903.90725</v>
      </c>
      <c r="S14" s="187">
        <v>1</v>
      </c>
      <c r="T14" s="660"/>
      <c r="U14" s="660"/>
      <c r="V14" s="674"/>
      <c r="W14" s="660"/>
      <c r="X14" s="682">
        <v>25</v>
      </c>
      <c r="Y14" s="688">
        <v>0.3</v>
      </c>
      <c r="Z14" s="187">
        <f>R14*Y14</f>
        <v>3571.1721750000002</v>
      </c>
      <c r="AA14" s="187"/>
      <c r="AB14" s="187">
        <f t="shared" si="0"/>
        <v>15475.079425</v>
      </c>
      <c r="AC14" s="689">
        <f>AF14</f>
        <v>4524.9205750000001</v>
      </c>
      <c r="AD14" s="689">
        <f t="shared" si="1"/>
        <v>20000</v>
      </c>
      <c r="AE14" s="190">
        <f>20000*S14</f>
        <v>20000</v>
      </c>
      <c r="AF14" s="190">
        <f>AE14-AB14</f>
        <v>4524.9205750000001</v>
      </c>
      <c r="AG14" s="689">
        <f>8000*S14</f>
        <v>8000</v>
      </c>
      <c r="AH14" s="190"/>
      <c r="AI14" s="191">
        <f t="shared" si="3"/>
        <v>10351.215</v>
      </c>
      <c r="AJ14" s="191">
        <f t="shared" si="4"/>
        <v>0</v>
      </c>
      <c r="AK14" s="191">
        <f t="shared" si="10"/>
        <v>11903.90725</v>
      </c>
      <c r="AL14" s="191">
        <f t="shared" si="11"/>
        <v>0</v>
      </c>
      <c r="AM14" s="191">
        <f>AK14-AI14</f>
        <v>1552.6922500000001</v>
      </c>
      <c r="AN14" s="191">
        <f>AL14-AJ14</f>
        <v>0</v>
      </c>
      <c r="AO14" s="193">
        <f t="shared" si="12"/>
        <v>3571.1721750000002</v>
      </c>
      <c r="AP14" s="193">
        <f t="shared" si="6"/>
        <v>0</v>
      </c>
      <c r="AQ14" s="193">
        <f t="shared" si="7"/>
        <v>0</v>
      </c>
      <c r="AR14" s="193">
        <f t="shared" si="8"/>
        <v>0</v>
      </c>
      <c r="AS14" s="193">
        <f t="shared" si="9"/>
        <v>0</v>
      </c>
      <c r="AT14" s="197">
        <f t="shared" si="13"/>
        <v>11903.90725</v>
      </c>
      <c r="AU14" s="197">
        <f t="shared" si="13"/>
        <v>0</v>
      </c>
      <c r="AV14" s="191"/>
      <c r="AW14" s="236">
        <f t="shared" si="14"/>
        <v>11903.90725</v>
      </c>
      <c r="AX14" s="690"/>
      <c r="AY14" s="619"/>
      <c r="AZ14" s="619"/>
      <c r="BA14" s="619"/>
    </row>
    <row r="15" spans="2:53" s="69" customFormat="1" ht="63" hidden="1" customHeight="1">
      <c r="B15" s="660"/>
      <c r="C15" s="185" t="s">
        <v>1282</v>
      </c>
      <c r="D15" s="186" t="s">
        <v>1658</v>
      </c>
      <c r="E15" s="660"/>
      <c r="F15" s="660"/>
      <c r="G15" s="187"/>
      <c r="H15" s="674"/>
      <c r="I15" s="859"/>
      <c r="J15" s="674"/>
      <c r="K15" s="660"/>
      <c r="L15" s="660"/>
      <c r="M15" s="688">
        <v>0.15</v>
      </c>
      <c r="N15" s="187">
        <f>(G15+I15)*M15</f>
        <v>0</v>
      </c>
      <c r="O15" s="687"/>
      <c r="P15" s="660"/>
      <c r="Q15" s="660"/>
      <c r="R15" s="187">
        <f>G15+I15+K15+L15+N15+P15+Q15</f>
        <v>0</v>
      </c>
      <c r="S15" s="187"/>
      <c r="T15" s="660"/>
      <c r="U15" s="660"/>
      <c r="V15" s="674"/>
      <c r="W15" s="660"/>
      <c r="X15" s="674"/>
      <c r="Y15" s="674"/>
      <c r="Z15" s="660"/>
      <c r="AA15" s="187"/>
      <c r="AB15" s="187">
        <f t="shared" si="0"/>
        <v>0</v>
      </c>
      <c r="AC15" s="689"/>
      <c r="AD15" s="689">
        <f t="shared" si="1"/>
        <v>0</v>
      </c>
      <c r="AE15" s="190">
        <f>AD15</f>
        <v>0</v>
      </c>
      <c r="AF15" s="190">
        <f t="shared" si="2"/>
        <v>0</v>
      </c>
      <c r="AG15" s="689"/>
      <c r="AH15" s="190"/>
      <c r="AI15" s="191">
        <f t="shared" si="3"/>
        <v>0</v>
      </c>
      <c r="AJ15" s="191">
        <f t="shared" si="4"/>
        <v>0</v>
      </c>
      <c r="AK15" s="191">
        <f t="shared" si="10"/>
        <v>0</v>
      </c>
      <c r="AL15" s="191">
        <f t="shared" si="11"/>
        <v>0</v>
      </c>
      <c r="AM15" s="191">
        <f t="shared" si="5"/>
        <v>0</v>
      </c>
      <c r="AN15" s="191">
        <f t="shared" si="5"/>
        <v>0</v>
      </c>
      <c r="AO15" s="193">
        <f t="shared" si="12"/>
        <v>0</v>
      </c>
      <c r="AP15" s="193">
        <f t="shared" si="6"/>
        <v>0</v>
      </c>
      <c r="AQ15" s="193">
        <f t="shared" si="7"/>
        <v>0</v>
      </c>
      <c r="AR15" s="193">
        <f t="shared" si="8"/>
        <v>0</v>
      </c>
      <c r="AS15" s="193">
        <f t="shared" si="9"/>
        <v>0</v>
      </c>
      <c r="AT15" s="197">
        <f t="shared" si="13"/>
        <v>0</v>
      </c>
      <c r="AU15" s="197">
        <f t="shared" si="13"/>
        <v>0</v>
      </c>
      <c r="AV15" s="191"/>
      <c r="AW15" s="236">
        <f t="shared" si="14"/>
        <v>0</v>
      </c>
      <c r="AX15" s="691"/>
      <c r="AY15" s="619"/>
      <c r="AZ15" s="619"/>
      <c r="BA15" s="619"/>
    </row>
    <row r="16" spans="2:53" s="69" customFormat="1" ht="33">
      <c r="B16" s="660">
        <f>B14+1</f>
        <v>4</v>
      </c>
      <c r="C16" s="185" t="s">
        <v>1168</v>
      </c>
      <c r="D16" s="186" t="s">
        <v>1658</v>
      </c>
      <c r="E16" s="660" t="s">
        <v>1169</v>
      </c>
      <c r="F16" s="194"/>
      <c r="G16" s="187">
        <f>G12*90%</f>
        <v>12177.9</v>
      </c>
      <c r="H16" s="687"/>
      <c r="I16" s="706"/>
      <c r="J16" s="692"/>
      <c r="K16" s="194"/>
      <c r="L16" s="194"/>
      <c r="M16" s="688">
        <v>0.15</v>
      </c>
      <c r="N16" s="187">
        <f>(G16+I16)*M16</f>
        <v>1826.6849999999999</v>
      </c>
      <c r="O16" s="688"/>
      <c r="P16" s="194"/>
      <c r="Q16" s="194"/>
      <c r="R16" s="187">
        <f>G16+I16+K16+L16+N16+P16+Q16+0.004</f>
        <v>14004.589</v>
      </c>
      <c r="S16" s="187">
        <v>1</v>
      </c>
      <c r="T16" s="194"/>
      <c r="U16" s="194"/>
      <c r="V16" s="692"/>
      <c r="W16" s="194"/>
      <c r="X16" s="674"/>
      <c r="Y16" s="688"/>
      <c r="Z16" s="187"/>
      <c r="AA16" s="187"/>
      <c r="AB16" s="187">
        <f t="shared" si="0"/>
        <v>14004.589</v>
      </c>
      <c r="AC16" s="689">
        <f>AF16</f>
        <v>0</v>
      </c>
      <c r="AD16" s="689">
        <f t="shared" si="1"/>
        <v>14004.589</v>
      </c>
      <c r="AE16" s="190">
        <f>AB16</f>
        <v>14004.589</v>
      </c>
      <c r="AF16" s="190">
        <f t="shared" si="2"/>
        <v>0</v>
      </c>
      <c r="AG16" s="689">
        <f>8000*S16</f>
        <v>8000</v>
      </c>
      <c r="AH16" s="190"/>
      <c r="AI16" s="197">
        <f t="shared" si="3"/>
        <v>12177.9</v>
      </c>
      <c r="AJ16" s="197">
        <f t="shared" si="4"/>
        <v>0</v>
      </c>
      <c r="AK16" s="197">
        <f t="shared" si="10"/>
        <v>14004.589</v>
      </c>
      <c r="AL16" s="197">
        <f t="shared" si="11"/>
        <v>0</v>
      </c>
      <c r="AM16" s="197">
        <f>AK16-AI16</f>
        <v>1826.6890000000003</v>
      </c>
      <c r="AN16" s="197">
        <f>AL16-AJ16</f>
        <v>0</v>
      </c>
      <c r="AO16" s="197">
        <f t="shared" si="12"/>
        <v>0</v>
      </c>
      <c r="AP16" s="197">
        <f t="shared" si="6"/>
        <v>0</v>
      </c>
      <c r="AQ16" s="193">
        <f t="shared" si="7"/>
        <v>0</v>
      </c>
      <c r="AR16" s="193">
        <f t="shared" si="8"/>
        <v>0</v>
      </c>
      <c r="AS16" s="193">
        <f t="shared" si="9"/>
        <v>0</v>
      </c>
      <c r="AT16" s="197">
        <f>AK16</f>
        <v>14004.589</v>
      </c>
      <c r="AU16" s="197">
        <f>AL16</f>
        <v>0</v>
      </c>
      <c r="AV16" s="197"/>
      <c r="AW16" s="236">
        <f t="shared" si="14"/>
        <v>14004.589</v>
      </c>
      <c r="AX16" s="691"/>
      <c r="AY16" s="619"/>
      <c r="AZ16" s="619"/>
      <c r="BA16" s="619"/>
    </row>
    <row r="17" spans="2:53" s="69" customFormat="1" ht="63">
      <c r="B17" s="660">
        <f>1+B16</f>
        <v>5</v>
      </c>
      <c r="C17" s="185" t="s">
        <v>1033</v>
      </c>
      <c r="D17" s="186" t="s">
        <v>1291</v>
      </c>
      <c r="E17" s="660" t="s">
        <v>1034</v>
      </c>
      <c r="F17" s="660">
        <v>11</v>
      </c>
      <c r="G17" s="187">
        <v>6294</v>
      </c>
      <c r="H17" s="686">
        <v>0.28299999999999997</v>
      </c>
      <c r="I17" s="706">
        <f>3195*H17</f>
        <v>904.18499999999995</v>
      </c>
      <c r="J17" s="692"/>
      <c r="K17" s="194"/>
      <c r="L17" s="194"/>
      <c r="M17" s="688">
        <v>0.15</v>
      </c>
      <c r="N17" s="187">
        <f>(G17*M17)</f>
        <v>944.09999999999991</v>
      </c>
      <c r="O17" s="687"/>
      <c r="P17" s="194"/>
      <c r="Q17" s="194"/>
      <c r="R17" s="187">
        <f>G17+I17+K17+L17+N17+P17+Q17</f>
        <v>8142.2849999999999</v>
      </c>
      <c r="S17" s="187">
        <v>1</v>
      </c>
      <c r="T17" s="194"/>
      <c r="U17" s="194"/>
      <c r="V17" s="692"/>
      <c r="W17" s="194"/>
      <c r="X17" s="674">
        <v>29</v>
      </c>
      <c r="Y17" s="688">
        <v>0.3</v>
      </c>
      <c r="Z17" s="187">
        <f>R17*Y17*S17</f>
        <v>2442.6855</v>
      </c>
      <c r="AA17" s="187"/>
      <c r="AB17" s="187">
        <f t="shared" si="0"/>
        <v>10584.970499999999</v>
      </c>
      <c r="AC17" s="689">
        <f>AF17</f>
        <v>2915.0295000000006</v>
      </c>
      <c r="AD17" s="689">
        <f t="shared" si="1"/>
        <v>13500</v>
      </c>
      <c r="AE17" s="190">
        <f>13500*S17</f>
        <v>13500</v>
      </c>
      <c r="AF17" s="190">
        <f t="shared" si="2"/>
        <v>2915.0295000000006</v>
      </c>
      <c r="AG17" s="689">
        <f>8000*S17</f>
        <v>8000</v>
      </c>
      <c r="AH17" s="190"/>
      <c r="AI17" s="191">
        <f t="shared" si="3"/>
        <v>6294</v>
      </c>
      <c r="AJ17" s="191">
        <f t="shared" si="4"/>
        <v>0</v>
      </c>
      <c r="AK17" s="191">
        <f t="shared" si="10"/>
        <v>8142.2849999999999</v>
      </c>
      <c r="AL17" s="191">
        <f t="shared" si="11"/>
        <v>0</v>
      </c>
      <c r="AM17" s="191">
        <f>AK17-AI17</f>
        <v>1848.2849999999999</v>
      </c>
      <c r="AN17" s="191">
        <f t="shared" si="5"/>
        <v>0</v>
      </c>
      <c r="AO17" s="193">
        <f t="shared" si="12"/>
        <v>2442.6855</v>
      </c>
      <c r="AP17" s="193">
        <f t="shared" si="6"/>
        <v>0</v>
      </c>
      <c r="AQ17" s="193">
        <f t="shared" si="7"/>
        <v>0</v>
      </c>
      <c r="AR17" s="193">
        <f t="shared" si="8"/>
        <v>0</v>
      </c>
      <c r="AS17" s="193">
        <f t="shared" si="9"/>
        <v>0</v>
      </c>
      <c r="AT17" s="197">
        <f t="shared" si="13"/>
        <v>8142.2849999999999</v>
      </c>
      <c r="AU17" s="197">
        <f t="shared" si="13"/>
        <v>0</v>
      </c>
      <c r="AV17" s="191"/>
      <c r="AW17" s="236">
        <f t="shared" si="14"/>
        <v>8142.2849999999999</v>
      </c>
      <c r="AX17" s="690"/>
      <c r="AY17" s="619"/>
      <c r="AZ17" s="619"/>
      <c r="BA17" s="619"/>
    </row>
    <row r="18" spans="2:53" s="69" customFormat="1" ht="33">
      <c r="B18" s="660">
        <f>1+B17</f>
        <v>6</v>
      </c>
      <c r="C18" s="185" t="s">
        <v>1186</v>
      </c>
      <c r="D18" s="186"/>
      <c r="E18" s="660" t="s">
        <v>1187</v>
      </c>
      <c r="F18" s="660">
        <v>6</v>
      </c>
      <c r="G18" s="187">
        <v>4633</v>
      </c>
      <c r="H18" s="687"/>
      <c r="I18" s="187"/>
      <c r="J18" s="687"/>
      <c r="K18" s="187"/>
      <c r="L18" s="187"/>
      <c r="M18" s="687"/>
      <c r="N18" s="187"/>
      <c r="O18" s="687"/>
      <c r="P18" s="187"/>
      <c r="Q18" s="187"/>
      <c r="R18" s="187">
        <f>G18+I18+K18+L18+N18+P18+Q18</f>
        <v>4633</v>
      </c>
      <c r="S18" s="187">
        <v>1</v>
      </c>
      <c r="T18" s="187"/>
      <c r="U18" s="194"/>
      <c r="V18" s="692"/>
      <c r="W18" s="194"/>
      <c r="X18" s="674"/>
      <c r="Y18" s="688"/>
      <c r="Z18" s="187"/>
      <c r="AA18" s="187">
        <f>AH18</f>
        <v>3367</v>
      </c>
      <c r="AB18" s="187">
        <f>(R18+AA18)*S18</f>
        <v>8000</v>
      </c>
      <c r="AC18" s="689">
        <f>AF18</f>
        <v>0</v>
      </c>
      <c r="AD18" s="689">
        <f t="shared" si="1"/>
        <v>8000</v>
      </c>
      <c r="AE18" s="190">
        <f>AB18</f>
        <v>8000</v>
      </c>
      <c r="AF18" s="190">
        <f>AE18-AB18</f>
        <v>0</v>
      </c>
      <c r="AG18" s="689">
        <f>8000*S18</f>
        <v>8000</v>
      </c>
      <c r="AH18" s="190">
        <f>AG18-(R18*S18)</f>
        <v>3367</v>
      </c>
      <c r="AI18" s="191">
        <f t="shared" si="3"/>
        <v>4633</v>
      </c>
      <c r="AJ18" s="191">
        <f t="shared" si="4"/>
        <v>0</v>
      </c>
      <c r="AK18" s="191">
        <f t="shared" si="10"/>
        <v>4633</v>
      </c>
      <c r="AL18" s="191">
        <f t="shared" si="11"/>
        <v>0</v>
      </c>
      <c r="AM18" s="191">
        <f>AK18-AI18</f>
        <v>0</v>
      </c>
      <c r="AN18" s="191">
        <f t="shared" si="5"/>
        <v>0</v>
      </c>
      <c r="AO18" s="193">
        <f t="shared" si="12"/>
        <v>0</v>
      </c>
      <c r="AP18" s="193">
        <f t="shared" si="6"/>
        <v>0</v>
      </c>
      <c r="AQ18" s="193">
        <f t="shared" si="7"/>
        <v>3367</v>
      </c>
      <c r="AR18" s="193">
        <f t="shared" si="8"/>
        <v>0</v>
      </c>
      <c r="AS18" s="193">
        <f t="shared" si="9"/>
        <v>0</v>
      </c>
      <c r="AT18" s="197">
        <f t="shared" si="13"/>
        <v>4633</v>
      </c>
      <c r="AU18" s="197">
        <f t="shared" si="13"/>
        <v>0</v>
      </c>
      <c r="AV18" s="191"/>
      <c r="AW18" s="236">
        <f>R18*S18</f>
        <v>4633</v>
      </c>
      <c r="AX18" s="236">
        <f>13500*S18-AB18</f>
        <v>5500</v>
      </c>
      <c r="AY18" s="619"/>
      <c r="AZ18" s="619"/>
      <c r="BA18" s="619"/>
    </row>
    <row r="19" spans="2:53" s="69" customFormat="1" ht="31.5">
      <c r="B19" s="660"/>
      <c r="C19" s="168" t="s">
        <v>1662</v>
      </c>
      <c r="D19" s="195"/>
      <c r="E19" s="181"/>
      <c r="F19" s="181"/>
      <c r="G19" s="171">
        <f>SUM(G12:G18)</f>
        <v>59165.015000000007</v>
      </c>
      <c r="H19" s="693"/>
      <c r="I19" s="171">
        <f>SUM(I12:I18)</f>
        <v>3773.2950000000001</v>
      </c>
      <c r="J19" s="693"/>
      <c r="K19" s="171"/>
      <c r="L19" s="171"/>
      <c r="M19" s="693"/>
      <c r="N19" s="171">
        <f>SUM(N12:N18)</f>
        <v>8610.1687500000007</v>
      </c>
      <c r="O19" s="693"/>
      <c r="P19" s="171"/>
      <c r="Q19" s="171"/>
      <c r="R19" s="171">
        <f>SUM(R12:R18)</f>
        <v>71548.497749999995</v>
      </c>
      <c r="S19" s="171">
        <f>SUM(S12:S18)</f>
        <v>6</v>
      </c>
      <c r="T19" s="171">
        <f>SUM(T12:T18)</f>
        <v>0</v>
      </c>
      <c r="U19" s="171"/>
      <c r="V19" s="693"/>
      <c r="W19" s="171"/>
      <c r="X19" s="693"/>
      <c r="Y19" s="693"/>
      <c r="Z19" s="172">
        <f t="shared" ref="Z19:AG19" si="15">SUM(Z12:Z18)</f>
        <v>15873.272624999998</v>
      </c>
      <c r="AA19" s="171">
        <f t="shared" si="15"/>
        <v>3367</v>
      </c>
      <c r="AB19" s="171">
        <f t="shared" si="15"/>
        <v>90788.770374999993</v>
      </c>
      <c r="AC19" s="171">
        <f t="shared" si="15"/>
        <v>7439.9500750000007</v>
      </c>
      <c r="AD19" s="171">
        <f t="shared" si="15"/>
        <v>98228.720449999993</v>
      </c>
      <c r="AE19" s="171">
        <f t="shared" si="15"/>
        <v>97878.093724999999</v>
      </c>
      <c r="AF19" s="171">
        <f t="shared" si="15"/>
        <v>7089.3233500000024</v>
      </c>
      <c r="AG19" s="171">
        <f t="shared" si="15"/>
        <v>48000</v>
      </c>
      <c r="AH19" s="171">
        <f t="shared" ref="AH19:AV19" si="16">SUM(AH12:AH18)</f>
        <v>3367</v>
      </c>
      <c r="AI19" s="171">
        <f t="shared" si="16"/>
        <v>59165.015000000007</v>
      </c>
      <c r="AJ19" s="171">
        <f t="shared" si="16"/>
        <v>0</v>
      </c>
      <c r="AK19" s="171">
        <f t="shared" si="16"/>
        <v>71548.497749999995</v>
      </c>
      <c r="AL19" s="171">
        <f t="shared" si="16"/>
        <v>0</v>
      </c>
      <c r="AM19" s="171">
        <f t="shared" si="16"/>
        <v>12383.482749999999</v>
      </c>
      <c r="AN19" s="171">
        <f t="shared" si="16"/>
        <v>0</v>
      </c>
      <c r="AO19" s="171">
        <f t="shared" si="16"/>
        <v>15873.272624999998</v>
      </c>
      <c r="AP19" s="171">
        <f t="shared" si="16"/>
        <v>0</v>
      </c>
      <c r="AQ19" s="171">
        <f t="shared" si="16"/>
        <v>3367</v>
      </c>
      <c r="AR19" s="171">
        <f t="shared" si="16"/>
        <v>0</v>
      </c>
      <c r="AS19" s="171">
        <f t="shared" si="16"/>
        <v>0</v>
      </c>
      <c r="AT19" s="171">
        <f t="shared" si="16"/>
        <v>71548.497749999995</v>
      </c>
      <c r="AU19" s="171">
        <f t="shared" si="16"/>
        <v>0</v>
      </c>
      <c r="AV19" s="171">
        <f t="shared" si="16"/>
        <v>0</v>
      </c>
      <c r="AW19" s="171">
        <f>SUM(AW12:AW18)</f>
        <v>71548.497749999995</v>
      </c>
      <c r="AX19" s="171">
        <f>SUM(AX12:AX18)</f>
        <v>5500</v>
      </c>
      <c r="AY19" s="619"/>
      <c r="AZ19" s="619"/>
      <c r="BA19" s="619"/>
    </row>
    <row r="20" spans="2:53" s="69" customFormat="1" ht="33">
      <c r="B20" s="660"/>
      <c r="C20" s="179" t="s">
        <v>1778</v>
      </c>
      <c r="D20" s="180"/>
      <c r="E20" s="181"/>
      <c r="F20" s="181"/>
      <c r="G20" s="181"/>
      <c r="H20" s="682"/>
      <c r="I20" s="181"/>
      <c r="J20" s="682"/>
      <c r="K20" s="181"/>
      <c r="L20" s="181"/>
      <c r="M20" s="682"/>
      <c r="N20" s="181"/>
      <c r="O20" s="682"/>
      <c r="P20" s="181"/>
      <c r="Q20" s="181"/>
      <c r="R20" s="181"/>
      <c r="S20" s="181"/>
      <c r="T20" s="181"/>
      <c r="U20" s="181"/>
      <c r="V20" s="683"/>
      <c r="W20" s="181"/>
      <c r="X20" s="683"/>
      <c r="Y20" s="683"/>
      <c r="Z20" s="181"/>
      <c r="AA20" s="181"/>
      <c r="AB20" s="181"/>
      <c r="AC20" s="183"/>
      <c r="AD20" s="183"/>
      <c r="AE20" s="183"/>
      <c r="AF20" s="183"/>
      <c r="AG20" s="183"/>
      <c r="AH20" s="183"/>
      <c r="AI20" s="191">
        <f t="shared" ref="AI20:AI26" si="17">G20*S20</f>
        <v>0</v>
      </c>
      <c r="AJ20" s="191">
        <f>G20*T20</f>
        <v>0</v>
      </c>
      <c r="AK20" s="191">
        <f t="shared" ref="AK20:AK26" si="18">R20*S20</f>
        <v>0</v>
      </c>
      <c r="AL20" s="191">
        <f>R20*T20</f>
        <v>0</v>
      </c>
      <c r="AM20" s="191">
        <f>AK20-AI20</f>
        <v>0</v>
      </c>
      <c r="AN20" s="191">
        <f>AL20-AJ20</f>
        <v>0</v>
      </c>
      <c r="AO20" s="193">
        <f>Z20*S20</f>
        <v>0</v>
      </c>
      <c r="AP20" s="193">
        <f t="shared" ref="AP20:AP25" si="19">Z20*T20</f>
        <v>0</v>
      </c>
      <c r="AQ20" s="193">
        <f t="shared" ref="AQ20:AQ26" si="20">AA20</f>
        <v>0</v>
      </c>
      <c r="AR20" s="193">
        <f>W20*S20</f>
        <v>0</v>
      </c>
      <c r="AS20" s="193">
        <f t="shared" ref="AS20:AS25" si="21">W20*T20</f>
        <v>0</v>
      </c>
      <c r="AT20" s="197"/>
      <c r="AU20" s="197"/>
      <c r="AV20" s="191"/>
      <c r="AW20" s="236"/>
      <c r="AX20" s="236"/>
      <c r="AY20" s="619"/>
      <c r="AZ20" s="619"/>
      <c r="BA20" s="619"/>
    </row>
    <row r="21" spans="2:53" s="69" customFormat="1" ht="33">
      <c r="B21" s="660">
        <f>B18+1</f>
        <v>7</v>
      </c>
      <c r="C21" s="185" t="s">
        <v>1170</v>
      </c>
      <c r="D21" s="186" t="s">
        <v>1658</v>
      </c>
      <c r="E21" s="660" t="s">
        <v>1731</v>
      </c>
      <c r="F21" s="194"/>
      <c r="G21" s="187">
        <f>G16*90%</f>
        <v>10960.11</v>
      </c>
      <c r="H21" s="687"/>
      <c r="I21" s="187"/>
      <c r="J21" s="687"/>
      <c r="K21" s="187"/>
      <c r="L21" s="187"/>
      <c r="M21" s="688">
        <v>0.15</v>
      </c>
      <c r="N21" s="187">
        <f>(G21+I21)*M21</f>
        <v>1644.0165</v>
      </c>
      <c r="O21" s="688"/>
      <c r="P21" s="187"/>
      <c r="Q21" s="187"/>
      <c r="R21" s="187">
        <f t="shared" ref="R21:R26" si="22">G21+I21+K21+L21+N21+P21+Q21</f>
        <v>12604.1265</v>
      </c>
      <c r="S21" s="187">
        <v>1</v>
      </c>
      <c r="T21" s="194"/>
      <c r="U21" s="194"/>
      <c r="V21" s="692"/>
      <c r="W21" s="194"/>
      <c r="X21" s="674"/>
      <c r="Y21" s="688"/>
      <c r="Z21" s="187"/>
      <c r="AA21" s="187"/>
      <c r="AB21" s="187">
        <f>(R21+Z21)*S21</f>
        <v>12604.1265</v>
      </c>
      <c r="AC21" s="689">
        <f t="shared" ref="AC21:AC26" si="23">AF21</f>
        <v>0</v>
      </c>
      <c r="AD21" s="689">
        <f t="shared" ref="AD21:AD26" si="24">AB21+AC21</f>
        <v>12604.1265</v>
      </c>
      <c r="AE21" s="190">
        <f t="shared" ref="AE21:AE26" si="25">AB21</f>
        <v>12604.1265</v>
      </c>
      <c r="AF21" s="190">
        <f t="shared" ref="AF21:AF26" si="26">AE21-AB21</f>
        <v>0</v>
      </c>
      <c r="AG21" s="689">
        <f t="shared" ref="AG21:AG26" si="27">8000*S21</f>
        <v>8000</v>
      </c>
      <c r="AH21" s="190"/>
      <c r="AI21" s="197">
        <f t="shared" si="17"/>
        <v>10960.11</v>
      </c>
      <c r="AJ21" s="191">
        <f t="shared" ref="AJ21:AJ26" si="28">G21*S21</f>
        <v>10960.11</v>
      </c>
      <c r="AK21" s="197">
        <f t="shared" si="18"/>
        <v>12604.1265</v>
      </c>
      <c r="AL21" s="197">
        <f t="shared" ref="AL21:AL26" si="29">R21*S21</f>
        <v>12604.1265</v>
      </c>
      <c r="AM21" s="197">
        <f>AK21-AI21</f>
        <v>1644.0164999999997</v>
      </c>
      <c r="AN21" s="197">
        <f>AL21-AJ21</f>
        <v>1644.0164999999997</v>
      </c>
      <c r="AO21" s="197">
        <f>Z21*S21</f>
        <v>0</v>
      </c>
      <c r="AP21" s="197">
        <f t="shared" si="19"/>
        <v>0</v>
      </c>
      <c r="AQ21" s="193">
        <f t="shared" si="20"/>
        <v>0</v>
      </c>
      <c r="AR21" s="193">
        <f>W21*S21</f>
        <v>0</v>
      </c>
      <c r="AS21" s="193">
        <f t="shared" si="21"/>
        <v>0</v>
      </c>
      <c r="AT21" s="197">
        <f t="shared" si="13"/>
        <v>12604.1265</v>
      </c>
      <c r="AU21" s="197">
        <f t="shared" si="13"/>
        <v>12604.1265</v>
      </c>
      <c r="AV21" s="197"/>
      <c r="AW21" s="236">
        <f t="shared" si="14"/>
        <v>12604.1265</v>
      </c>
      <c r="AX21" s="236"/>
      <c r="AY21" s="619"/>
      <c r="AZ21" s="619"/>
      <c r="BA21" s="619"/>
    </row>
    <row r="22" spans="2:53" s="69" customFormat="1" ht="33">
      <c r="B22" s="660">
        <f>1+B21</f>
        <v>8</v>
      </c>
      <c r="C22" s="185" t="s">
        <v>96</v>
      </c>
      <c r="D22" s="186"/>
      <c r="E22" s="660" t="s">
        <v>97</v>
      </c>
      <c r="F22" s="660">
        <v>7</v>
      </c>
      <c r="G22" s="187">
        <v>4920</v>
      </c>
      <c r="H22" s="687"/>
      <c r="I22" s="187"/>
      <c r="J22" s="687"/>
      <c r="K22" s="187"/>
      <c r="L22" s="187"/>
      <c r="M22" s="687"/>
      <c r="N22" s="187"/>
      <c r="O22" s="687"/>
      <c r="P22" s="187"/>
      <c r="Q22" s="187"/>
      <c r="R22" s="187">
        <f t="shared" si="22"/>
        <v>4920</v>
      </c>
      <c r="S22" s="187">
        <v>1</v>
      </c>
      <c r="T22" s="194"/>
      <c r="U22" s="194"/>
      <c r="V22" s="692"/>
      <c r="W22" s="194"/>
      <c r="X22" s="674"/>
      <c r="Y22" s="688"/>
      <c r="Z22" s="187"/>
      <c r="AA22" s="187">
        <f>AH22</f>
        <v>3080</v>
      </c>
      <c r="AB22" s="187">
        <f>(R22+Z22+U22+W22)*S22+AA22</f>
        <v>8000</v>
      </c>
      <c r="AC22" s="689">
        <f t="shared" si="23"/>
        <v>0</v>
      </c>
      <c r="AD22" s="689">
        <f t="shared" si="24"/>
        <v>8000</v>
      </c>
      <c r="AE22" s="190">
        <f t="shared" si="25"/>
        <v>8000</v>
      </c>
      <c r="AF22" s="190">
        <f t="shared" si="26"/>
        <v>0</v>
      </c>
      <c r="AG22" s="689">
        <f t="shared" si="27"/>
        <v>8000</v>
      </c>
      <c r="AH22" s="190">
        <f>AG22-(R22*S22)</f>
        <v>3080</v>
      </c>
      <c r="AI22" s="191">
        <f t="shared" si="17"/>
        <v>4920</v>
      </c>
      <c r="AJ22" s="191">
        <f t="shared" si="28"/>
        <v>4920</v>
      </c>
      <c r="AK22" s="191">
        <f t="shared" si="18"/>
        <v>4920</v>
      </c>
      <c r="AL22" s="197">
        <f t="shared" si="29"/>
        <v>4920</v>
      </c>
      <c r="AM22" s="197">
        <f t="shared" ref="AM22:AN26" si="30">AK22-AI22</f>
        <v>0</v>
      </c>
      <c r="AN22" s="197">
        <f t="shared" si="30"/>
        <v>0</v>
      </c>
      <c r="AO22" s="193">
        <f>Z22*S22</f>
        <v>0</v>
      </c>
      <c r="AP22" s="193">
        <f t="shared" si="19"/>
        <v>0</v>
      </c>
      <c r="AQ22" s="193">
        <f t="shared" si="20"/>
        <v>3080</v>
      </c>
      <c r="AR22" s="193">
        <f>W22*S22</f>
        <v>0</v>
      </c>
      <c r="AS22" s="193">
        <f t="shared" si="21"/>
        <v>0</v>
      </c>
      <c r="AT22" s="197">
        <f t="shared" si="13"/>
        <v>4920</v>
      </c>
      <c r="AU22" s="197">
        <f t="shared" si="13"/>
        <v>4920</v>
      </c>
      <c r="AV22" s="191"/>
      <c r="AW22" s="236">
        <f t="shared" si="14"/>
        <v>4920</v>
      </c>
      <c r="AX22" s="236">
        <f>13500*S22-AB22</f>
        <v>5500</v>
      </c>
      <c r="AY22" s="619"/>
      <c r="AZ22" s="619"/>
      <c r="BA22" s="619"/>
    </row>
    <row r="23" spans="2:53" s="69" customFormat="1" ht="33">
      <c r="B23" s="660">
        <f>1+B22</f>
        <v>9</v>
      </c>
      <c r="C23" s="185" t="s">
        <v>1171</v>
      </c>
      <c r="D23" s="186"/>
      <c r="E23" s="660" t="s">
        <v>98</v>
      </c>
      <c r="F23" s="660">
        <v>7</v>
      </c>
      <c r="G23" s="187">
        <v>4920</v>
      </c>
      <c r="H23" s="687"/>
      <c r="I23" s="187"/>
      <c r="J23" s="687"/>
      <c r="K23" s="187"/>
      <c r="L23" s="187"/>
      <c r="M23" s="687"/>
      <c r="N23" s="187"/>
      <c r="O23" s="687"/>
      <c r="P23" s="187"/>
      <c r="Q23" s="187"/>
      <c r="R23" s="187">
        <f t="shared" si="22"/>
        <v>4920</v>
      </c>
      <c r="S23" s="187">
        <v>1</v>
      </c>
      <c r="T23" s="194"/>
      <c r="U23" s="194"/>
      <c r="V23" s="692"/>
      <c r="W23" s="194"/>
      <c r="X23" s="674"/>
      <c r="Y23" s="688"/>
      <c r="Z23" s="187"/>
      <c r="AA23" s="187">
        <f>AH23</f>
        <v>3080</v>
      </c>
      <c r="AB23" s="187">
        <f>(R23+Z23+U23+W23)*S23+AA23</f>
        <v>8000</v>
      </c>
      <c r="AC23" s="689">
        <f t="shared" si="23"/>
        <v>0</v>
      </c>
      <c r="AD23" s="689">
        <f t="shared" si="24"/>
        <v>8000</v>
      </c>
      <c r="AE23" s="190">
        <f t="shared" si="25"/>
        <v>8000</v>
      </c>
      <c r="AF23" s="190">
        <f t="shared" si="26"/>
        <v>0</v>
      </c>
      <c r="AG23" s="689">
        <f t="shared" si="27"/>
        <v>8000</v>
      </c>
      <c r="AH23" s="190">
        <f>AG23-(R23*S23)</f>
        <v>3080</v>
      </c>
      <c r="AI23" s="191">
        <f t="shared" si="17"/>
        <v>4920</v>
      </c>
      <c r="AJ23" s="191">
        <f t="shared" si="28"/>
        <v>4920</v>
      </c>
      <c r="AK23" s="191">
        <f t="shared" si="18"/>
        <v>4920</v>
      </c>
      <c r="AL23" s="197">
        <f t="shared" si="29"/>
        <v>4920</v>
      </c>
      <c r="AM23" s="197">
        <f t="shared" si="30"/>
        <v>0</v>
      </c>
      <c r="AN23" s="197">
        <f t="shared" si="30"/>
        <v>0</v>
      </c>
      <c r="AO23" s="193">
        <f>Z23*S23</f>
        <v>0</v>
      </c>
      <c r="AP23" s="193">
        <f t="shared" si="19"/>
        <v>0</v>
      </c>
      <c r="AQ23" s="193">
        <f t="shared" si="20"/>
        <v>3080</v>
      </c>
      <c r="AR23" s="193">
        <f>W23*S23</f>
        <v>0</v>
      </c>
      <c r="AS23" s="193">
        <f t="shared" si="21"/>
        <v>0</v>
      </c>
      <c r="AT23" s="197">
        <f>AK23</f>
        <v>4920</v>
      </c>
      <c r="AU23" s="197">
        <f t="shared" si="13"/>
        <v>4920</v>
      </c>
      <c r="AV23" s="191"/>
      <c r="AW23" s="236">
        <f t="shared" si="14"/>
        <v>4920</v>
      </c>
      <c r="AX23" s="236">
        <f>13500*S23-AB23</f>
        <v>5500</v>
      </c>
      <c r="AY23" s="619"/>
      <c r="AZ23" s="619"/>
      <c r="BA23" s="619"/>
    </row>
    <row r="24" spans="2:53" s="71" customFormat="1" ht="33">
      <c r="B24" s="660">
        <f>1+B23</f>
        <v>10</v>
      </c>
      <c r="C24" s="185" t="s">
        <v>1172</v>
      </c>
      <c r="D24" s="186"/>
      <c r="E24" s="660" t="s">
        <v>99</v>
      </c>
      <c r="F24" s="660">
        <v>7</v>
      </c>
      <c r="G24" s="187">
        <v>4920</v>
      </c>
      <c r="H24" s="687"/>
      <c r="I24" s="187"/>
      <c r="J24" s="687"/>
      <c r="K24" s="187"/>
      <c r="L24" s="187"/>
      <c r="M24" s="687"/>
      <c r="N24" s="187"/>
      <c r="O24" s="687"/>
      <c r="P24" s="187"/>
      <c r="Q24" s="187"/>
      <c r="R24" s="187">
        <f t="shared" si="22"/>
        <v>4920</v>
      </c>
      <c r="S24" s="187">
        <v>1</v>
      </c>
      <c r="T24" s="194"/>
      <c r="U24" s="194"/>
      <c r="V24" s="692"/>
      <c r="W24" s="194"/>
      <c r="X24" s="674"/>
      <c r="Y24" s="688"/>
      <c r="Z24" s="187"/>
      <c r="AA24" s="187">
        <f>AH24</f>
        <v>3080</v>
      </c>
      <c r="AB24" s="187">
        <f>(R24+Z24+U24+W24)*S24+AA24</f>
        <v>8000</v>
      </c>
      <c r="AC24" s="689">
        <f t="shared" si="23"/>
        <v>0</v>
      </c>
      <c r="AD24" s="689">
        <f t="shared" si="24"/>
        <v>8000</v>
      </c>
      <c r="AE24" s="190">
        <f t="shared" si="25"/>
        <v>8000</v>
      </c>
      <c r="AF24" s="190">
        <f t="shared" si="26"/>
        <v>0</v>
      </c>
      <c r="AG24" s="689">
        <f t="shared" si="27"/>
        <v>8000</v>
      </c>
      <c r="AH24" s="190">
        <f>AG24-(R24*S24)</f>
        <v>3080</v>
      </c>
      <c r="AI24" s="191">
        <f t="shared" si="17"/>
        <v>4920</v>
      </c>
      <c r="AJ24" s="191">
        <f t="shared" si="28"/>
        <v>4920</v>
      </c>
      <c r="AK24" s="191">
        <f t="shared" si="18"/>
        <v>4920</v>
      </c>
      <c r="AL24" s="197">
        <f t="shared" si="29"/>
        <v>4920</v>
      </c>
      <c r="AM24" s="197">
        <f t="shared" si="30"/>
        <v>0</v>
      </c>
      <c r="AN24" s="197">
        <f t="shared" si="30"/>
        <v>0</v>
      </c>
      <c r="AO24" s="193">
        <f>Z24*S24</f>
        <v>0</v>
      </c>
      <c r="AP24" s="193">
        <f t="shared" si="19"/>
        <v>0</v>
      </c>
      <c r="AQ24" s="193">
        <f t="shared" si="20"/>
        <v>3080</v>
      </c>
      <c r="AR24" s="193">
        <f>W24*S24</f>
        <v>0</v>
      </c>
      <c r="AS24" s="193">
        <f t="shared" si="21"/>
        <v>0</v>
      </c>
      <c r="AT24" s="197">
        <f t="shared" si="13"/>
        <v>4920</v>
      </c>
      <c r="AU24" s="197">
        <f t="shared" si="13"/>
        <v>4920</v>
      </c>
      <c r="AV24" s="191"/>
      <c r="AW24" s="236">
        <f t="shared" si="14"/>
        <v>4920</v>
      </c>
      <c r="AX24" s="236">
        <f>13500*S24-AB24</f>
        <v>5500</v>
      </c>
      <c r="AY24" s="619"/>
      <c r="AZ24" s="619"/>
      <c r="BA24" s="619"/>
    </row>
    <row r="25" spans="2:53" s="72" customFormat="1" ht="33">
      <c r="B25" s="660">
        <f>1+B24</f>
        <v>11</v>
      </c>
      <c r="C25" s="185" t="s">
        <v>1172</v>
      </c>
      <c r="D25" s="186"/>
      <c r="E25" s="660" t="s">
        <v>1173</v>
      </c>
      <c r="F25" s="660">
        <v>7</v>
      </c>
      <c r="G25" s="187">
        <v>4920</v>
      </c>
      <c r="H25" s="687"/>
      <c r="I25" s="187"/>
      <c r="J25" s="687"/>
      <c r="K25" s="187"/>
      <c r="L25" s="187"/>
      <c r="M25" s="687"/>
      <c r="N25" s="187"/>
      <c r="O25" s="687"/>
      <c r="P25" s="187"/>
      <c r="Q25" s="187"/>
      <c r="R25" s="187">
        <f t="shared" si="22"/>
        <v>4920</v>
      </c>
      <c r="S25" s="187">
        <v>1</v>
      </c>
      <c r="T25" s="194"/>
      <c r="U25" s="194"/>
      <c r="V25" s="692"/>
      <c r="W25" s="194"/>
      <c r="X25" s="674"/>
      <c r="Y25" s="688"/>
      <c r="Z25" s="187"/>
      <c r="AA25" s="187">
        <f>AH25</f>
        <v>3080</v>
      </c>
      <c r="AB25" s="187">
        <f>(R25+Z25+U25+W25)*S25+AA25</f>
        <v>8000</v>
      </c>
      <c r="AC25" s="689">
        <f t="shared" si="23"/>
        <v>0</v>
      </c>
      <c r="AD25" s="689">
        <f t="shared" si="24"/>
        <v>8000</v>
      </c>
      <c r="AE25" s="190">
        <f t="shared" si="25"/>
        <v>8000</v>
      </c>
      <c r="AF25" s="190">
        <f t="shared" si="26"/>
        <v>0</v>
      </c>
      <c r="AG25" s="689">
        <f t="shared" si="27"/>
        <v>8000</v>
      </c>
      <c r="AH25" s="190">
        <f>AG25-(R25*S25)</f>
        <v>3080</v>
      </c>
      <c r="AI25" s="191">
        <f t="shared" si="17"/>
        <v>4920</v>
      </c>
      <c r="AJ25" s="191">
        <f t="shared" si="28"/>
        <v>4920</v>
      </c>
      <c r="AK25" s="191">
        <f t="shared" si="18"/>
        <v>4920</v>
      </c>
      <c r="AL25" s="197">
        <f t="shared" si="29"/>
        <v>4920</v>
      </c>
      <c r="AM25" s="197">
        <f t="shared" si="30"/>
        <v>0</v>
      </c>
      <c r="AN25" s="197">
        <f t="shared" si="30"/>
        <v>0</v>
      </c>
      <c r="AO25" s="193">
        <f>Z25*T25</f>
        <v>0</v>
      </c>
      <c r="AP25" s="193">
        <f t="shared" si="19"/>
        <v>0</v>
      </c>
      <c r="AQ25" s="193">
        <f t="shared" si="20"/>
        <v>3080</v>
      </c>
      <c r="AR25" s="193">
        <f>W25*T25</f>
        <v>0</v>
      </c>
      <c r="AS25" s="193">
        <f t="shared" si="21"/>
        <v>0</v>
      </c>
      <c r="AT25" s="197">
        <f>AK25</f>
        <v>4920</v>
      </c>
      <c r="AU25" s="197">
        <f>AL25</f>
        <v>4920</v>
      </c>
      <c r="AV25" s="191"/>
      <c r="AW25" s="236">
        <f>R25*S25</f>
        <v>4920</v>
      </c>
      <c r="AX25" s="236">
        <f>13500*S25-AB25</f>
        <v>5500</v>
      </c>
      <c r="AY25" s="619"/>
      <c r="AZ25" s="619"/>
      <c r="BA25" s="619"/>
    </row>
    <row r="26" spans="2:53" s="69" customFormat="1" ht="33">
      <c r="B26" s="660">
        <f>1+B25</f>
        <v>12</v>
      </c>
      <c r="C26" s="185" t="s">
        <v>1185</v>
      </c>
      <c r="D26" s="186"/>
      <c r="E26" s="660" t="s">
        <v>1667</v>
      </c>
      <c r="F26" s="660">
        <v>4</v>
      </c>
      <c r="G26" s="187">
        <v>4058</v>
      </c>
      <c r="H26" s="687"/>
      <c r="I26" s="187"/>
      <c r="J26" s="687"/>
      <c r="K26" s="187"/>
      <c r="L26" s="187"/>
      <c r="M26" s="687"/>
      <c r="N26" s="187"/>
      <c r="O26" s="687"/>
      <c r="P26" s="187"/>
      <c r="Q26" s="187"/>
      <c r="R26" s="187">
        <f t="shared" si="22"/>
        <v>4058</v>
      </c>
      <c r="S26" s="187">
        <v>0.5</v>
      </c>
      <c r="T26" s="187"/>
      <c r="U26" s="194"/>
      <c r="V26" s="692"/>
      <c r="W26" s="194"/>
      <c r="X26" s="674"/>
      <c r="Y26" s="688"/>
      <c r="Z26" s="187"/>
      <c r="AA26" s="187">
        <f>AH26</f>
        <v>1971</v>
      </c>
      <c r="AB26" s="187">
        <f>(R26+Z26+U26+W26)*S26+AA26</f>
        <v>4000</v>
      </c>
      <c r="AC26" s="689">
        <f t="shared" si="23"/>
        <v>0</v>
      </c>
      <c r="AD26" s="689">
        <f t="shared" si="24"/>
        <v>4000</v>
      </c>
      <c r="AE26" s="190">
        <f t="shared" si="25"/>
        <v>4000</v>
      </c>
      <c r="AF26" s="190">
        <f t="shared" si="26"/>
        <v>0</v>
      </c>
      <c r="AG26" s="689">
        <f t="shared" si="27"/>
        <v>4000</v>
      </c>
      <c r="AH26" s="190">
        <f>AG26-(R26*S26)</f>
        <v>1971</v>
      </c>
      <c r="AI26" s="191">
        <f t="shared" si="17"/>
        <v>2029</v>
      </c>
      <c r="AJ26" s="191">
        <f t="shared" si="28"/>
        <v>2029</v>
      </c>
      <c r="AK26" s="191">
        <f t="shared" si="18"/>
        <v>2029</v>
      </c>
      <c r="AL26" s="197">
        <f t="shared" si="29"/>
        <v>2029</v>
      </c>
      <c r="AM26" s="197">
        <f t="shared" si="30"/>
        <v>0</v>
      </c>
      <c r="AN26" s="197">
        <f t="shared" si="30"/>
        <v>0</v>
      </c>
      <c r="AO26" s="193">
        <f>Z26*S26</f>
        <v>0</v>
      </c>
      <c r="AP26" s="193">
        <f>Z26*S26</f>
        <v>0</v>
      </c>
      <c r="AQ26" s="193">
        <f t="shared" si="20"/>
        <v>1971</v>
      </c>
      <c r="AR26" s="193">
        <f>W26*S26</f>
        <v>0</v>
      </c>
      <c r="AS26" s="193">
        <f>W26*S26</f>
        <v>0</v>
      </c>
      <c r="AT26" s="197">
        <f>AK26</f>
        <v>2029</v>
      </c>
      <c r="AU26" s="197">
        <f>AL26</f>
        <v>2029</v>
      </c>
      <c r="AV26" s="191"/>
      <c r="AW26" s="236">
        <f>R26*S26</f>
        <v>2029</v>
      </c>
      <c r="AX26" s="236">
        <f>13500*S26-AB26</f>
        <v>2750</v>
      </c>
      <c r="AY26" s="619"/>
      <c r="AZ26" s="619"/>
      <c r="BA26" s="619"/>
    </row>
    <row r="27" spans="2:53" s="69" customFormat="1" ht="31.5">
      <c r="B27" s="660"/>
      <c r="C27" s="168" t="s">
        <v>1662</v>
      </c>
      <c r="D27" s="186"/>
      <c r="E27" s="660"/>
      <c r="F27" s="660"/>
      <c r="G27" s="198">
        <f>SUM(G21:G26)</f>
        <v>34698.11</v>
      </c>
      <c r="H27" s="694"/>
      <c r="I27" s="198"/>
      <c r="J27" s="694"/>
      <c r="K27" s="198"/>
      <c r="L27" s="198"/>
      <c r="M27" s="694"/>
      <c r="N27" s="198">
        <f>SUM(N21:N26)</f>
        <v>1644.0165</v>
      </c>
      <c r="O27" s="694"/>
      <c r="P27" s="198"/>
      <c r="Q27" s="198"/>
      <c r="R27" s="198">
        <f>SUM(R21:R26)</f>
        <v>36342.126499999998</v>
      </c>
      <c r="S27" s="198">
        <f>SUM(S21:S26)</f>
        <v>5.5</v>
      </c>
      <c r="T27" s="198">
        <f>SUM(T21:T26)</f>
        <v>0</v>
      </c>
      <c r="U27" s="198"/>
      <c r="V27" s="694"/>
      <c r="W27" s="198"/>
      <c r="X27" s="694"/>
      <c r="Y27" s="694"/>
      <c r="Z27" s="198"/>
      <c r="AA27" s="198">
        <f>SUM(AA21:AA26)</f>
        <v>14291</v>
      </c>
      <c r="AB27" s="198">
        <f>SUM(AB21:AB26)</f>
        <v>48604.126499999998</v>
      </c>
      <c r="AC27" s="198">
        <f>SUM(AC21:AC26)</f>
        <v>0</v>
      </c>
      <c r="AD27" s="198">
        <f>SUM(AD21:AD26)</f>
        <v>48604.126499999998</v>
      </c>
      <c r="AE27" s="198">
        <f t="shared" ref="AE27:AV27" si="31">SUM(AE21:AE26)</f>
        <v>48604.126499999998</v>
      </c>
      <c r="AF27" s="198">
        <f t="shared" si="31"/>
        <v>0</v>
      </c>
      <c r="AG27" s="198">
        <f t="shared" si="31"/>
        <v>44000</v>
      </c>
      <c r="AH27" s="198">
        <f t="shared" si="31"/>
        <v>14291</v>
      </c>
      <c r="AI27" s="198">
        <f t="shared" si="31"/>
        <v>32669.11</v>
      </c>
      <c r="AJ27" s="198">
        <f t="shared" si="31"/>
        <v>32669.11</v>
      </c>
      <c r="AK27" s="198">
        <f t="shared" si="31"/>
        <v>34313.126499999998</v>
      </c>
      <c r="AL27" s="198">
        <f t="shared" si="31"/>
        <v>34313.126499999998</v>
      </c>
      <c r="AM27" s="198">
        <f t="shared" si="31"/>
        <v>1644.0164999999997</v>
      </c>
      <c r="AN27" s="198">
        <f t="shared" si="31"/>
        <v>1644.0164999999997</v>
      </c>
      <c r="AO27" s="198">
        <f t="shared" si="31"/>
        <v>0</v>
      </c>
      <c r="AP27" s="198">
        <f t="shared" si="31"/>
        <v>0</v>
      </c>
      <c r="AQ27" s="198">
        <f t="shared" si="31"/>
        <v>14291</v>
      </c>
      <c r="AR27" s="198">
        <f t="shared" si="31"/>
        <v>0</v>
      </c>
      <c r="AS27" s="198">
        <f t="shared" si="31"/>
        <v>0</v>
      </c>
      <c r="AT27" s="198">
        <f t="shared" si="31"/>
        <v>34313.126499999998</v>
      </c>
      <c r="AU27" s="198">
        <f t="shared" si="31"/>
        <v>34313.126499999998</v>
      </c>
      <c r="AV27" s="198">
        <f t="shared" si="31"/>
        <v>0</v>
      </c>
      <c r="AW27" s="198">
        <f>SUM(AW21:AW26)</f>
        <v>34313.126499999998</v>
      </c>
      <c r="AX27" s="198">
        <f>SUM(AX21:AX26)</f>
        <v>24750</v>
      </c>
      <c r="AY27" s="619"/>
      <c r="AZ27" s="619"/>
      <c r="BA27" s="619"/>
    </row>
    <row r="28" spans="2:53" s="69" customFormat="1" ht="61.5">
      <c r="B28" s="660"/>
      <c r="C28" s="179" t="s">
        <v>1134</v>
      </c>
      <c r="D28" s="180"/>
      <c r="E28" s="181"/>
      <c r="F28" s="181"/>
      <c r="G28" s="181"/>
      <c r="H28" s="682"/>
      <c r="I28" s="181"/>
      <c r="J28" s="682"/>
      <c r="K28" s="181"/>
      <c r="L28" s="181"/>
      <c r="M28" s="682"/>
      <c r="N28" s="181"/>
      <c r="O28" s="682"/>
      <c r="P28" s="181"/>
      <c r="Q28" s="181"/>
      <c r="R28" s="181"/>
      <c r="S28" s="181"/>
      <c r="T28" s="181"/>
      <c r="U28" s="181"/>
      <c r="V28" s="683"/>
      <c r="W28" s="181"/>
      <c r="X28" s="683"/>
      <c r="Y28" s="683"/>
      <c r="Z28" s="181"/>
      <c r="AA28" s="181"/>
      <c r="AB28" s="181"/>
      <c r="AC28" s="183"/>
      <c r="AD28" s="183"/>
      <c r="AE28" s="183"/>
      <c r="AF28" s="183"/>
      <c r="AG28" s="183"/>
      <c r="AH28" s="183"/>
      <c r="AI28" s="191"/>
      <c r="AJ28" s="191"/>
      <c r="AK28" s="191"/>
      <c r="AL28" s="191"/>
      <c r="AM28" s="191"/>
      <c r="AN28" s="191"/>
      <c r="AO28" s="193"/>
      <c r="AP28" s="193"/>
      <c r="AQ28" s="193"/>
      <c r="AR28" s="193"/>
      <c r="AS28" s="193"/>
      <c r="AT28" s="197"/>
      <c r="AU28" s="197"/>
      <c r="AV28" s="191"/>
      <c r="AW28" s="236"/>
      <c r="AX28" s="236"/>
      <c r="AY28" s="619"/>
      <c r="AZ28" s="619"/>
      <c r="BA28" s="619"/>
    </row>
    <row r="29" spans="2:53" s="69" customFormat="1" ht="33">
      <c r="B29" s="660">
        <f>B26+1</f>
        <v>13</v>
      </c>
      <c r="C29" s="199" t="s">
        <v>1178</v>
      </c>
      <c r="D29" s="186"/>
      <c r="E29" s="194" t="s">
        <v>116</v>
      </c>
      <c r="F29" s="660">
        <v>7</v>
      </c>
      <c r="G29" s="187">
        <v>4920</v>
      </c>
      <c r="H29" s="687"/>
      <c r="I29" s="187"/>
      <c r="J29" s="687"/>
      <c r="K29" s="187"/>
      <c r="L29" s="187"/>
      <c r="M29" s="687"/>
      <c r="N29" s="187"/>
      <c r="O29" s="687"/>
      <c r="P29" s="187"/>
      <c r="Q29" s="187"/>
      <c r="R29" s="187">
        <f>G29+I29+K29+L29+N29+P29+Q29</f>
        <v>4920</v>
      </c>
      <c r="S29" s="187">
        <v>1</v>
      </c>
      <c r="T29" s="194"/>
      <c r="U29" s="194"/>
      <c r="V29" s="692"/>
      <c r="W29" s="194"/>
      <c r="X29" s="674"/>
      <c r="Y29" s="688"/>
      <c r="Z29" s="187"/>
      <c r="AA29" s="187">
        <f>AH29</f>
        <v>3080</v>
      </c>
      <c r="AB29" s="187">
        <f>(R29+AA29)*S29</f>
        <v>8000</v>
      </c>
      <c r="AC29" s="689">
        <f>AF29</f>
        <v>0</v>
      </c>
      <c r="AD29" s="689">
        <f>AB29+AC29</f>
        <v>8000</v>
      </c>
      <c r="AE29" s="190">
        <f>AB29</f>
        <v>8000</v>
      </c>
      <c r="AF29" s="190">
        <f>AE29-AB29</f>
        <v>0</v>
      </c>
      <c r="AG29" s="689">
        <f>8000*S29</f>
        <v>8000</v>
      </c>
      <c r="AH29" s="190">
        <f>AG29-(R29*S29)</f>
        <v>3080</v>
      </c>
      <c r="AI29" s="191">
        <f>G29*S29</f>
        <v>4920</v>
      </c>
      <c r="AJ29" s="191">
        <f>G29*T29</f>
        <v>0</v>
      </c>
      <c r="AK29" s="191">
        <f>R29*S29</f>
        <v>4920</v>
      </c>
      <c r="AL29" s="191">
        <f>R29*T29</f>
        <v>0</v>
      </c>
      <c r="AM29" s="191">
        <f t="shared" ref="AM29:AN31" si="32">AK29-AI29</f>
        <v>0</v>
      </c>
      <c r="AN29" s="191">
        <f t="shared" si="32"/>
        <v>0</v>
      </c>
      <c r="AO29" s="193">
        <f>Z29*S29</f>
        <v>0</v>
      </c>
      <c r="AP29" s="193">
        <f>Z29*T29</f>
        <v>0</v>
      </c>
      <c r="AQ29" s="193">
        <f>AA29</f>
        <v>3080</v>
      </c>
      <c r="AR29" s="193">
        <f>W29*S29</f>
        <v>0</v>
      </c>
      <c r="AS29" s="193">
        <f>W29*T29</f>
        <v>0</v>
      </c>
      <c r="AT29" s="197">
        <f>AK29</f>
        <v>4920</v>
      </c>
      <c r="AU29" s="197">
        <f>AL29</f>
        <v>0</v>
      </c>
      <c r="AV29" s="191"/>
      <c r="AW29" s="236">
        <f>R29*S29</f>
        <v>4920</v>
      </c>
      <c r="AX29" s="236">
        <f>13500*S29-AB29</f>
        <v>5500</v>
      </c>
      <c r="AY29" s="619"/>
      <c r="AZ29" s="619"/>
      <c r="BA29" s="619"/>
    </row>
    <row r="30" spans="2:53" s="69" customFormat="1" ht="58.5">
      <c r="B30" s="660">
        <f>1+B29</f>
        <v>14</v>
      </c>
      <c r="C30" s="185" t="s">
        <v>1135</v>
      </c>
      <c r="D30" s="200" t="s">
        <v>205</v>
      </c>
      <c r="E30" s="194" t="s">
        <v>1137</v>
      </c>
      <c r="F30" s="660">
        <v>8</v>
      </c>
      <c r="G30" s="187">
        <v>5240</v>
      </c>
      <c r="H30" s="687"/>
      <c r="I30" s="187"/>
      <c r="J30" s="687"/>
      <c r="K30" s="187"/>
      <c r="L30" s="187"/>
      <c r="M30" s="687"/>
      <c r="N30" s="187"/>
      <c r="O30" s="687"/>
      <c r="P30" s="194"/>
      <c r="Q30" s="194"/>
      <c r="R30" s="187">
        <f>G30+I30+K30+L30+N30+P30+Q30</f>
        <v>5240</v>
      </c>
      <c r="S30" s="187"/>
      <c r="T30" s="187">
        <v>0.5</v>
      </c>
      <c r="U30" s="194"/>
      <c r="V30" s="692"/>
      <c r="W30" s="194"/>
      <c r="X30" s="674">
        <v>16</v>
      </c>
      <c r="Y30" s="688">
        <v>0.2</v>
      </c>
      <c r="Z30" s="187">
        <f>R30*Y30</f>
        <v>1048</v>
      </c>
      <c r="AA30" s="187">
        <f>AH30</f>
        <v>856</v>
      </c>
      <c r="AB30" s="187">
        <f>(R30+Z30)*T30+AA30</f>
        <v>4000</v>
      </c>
      <c r="AC30" s="689">
        <f>AF30</f>
        <v>2750</v>
      </c>
      <c r="AD30" s="689">
        <f>AB30+AC30</f>
        <v>6750</v>
      </c>
      <c r="AE30" s="190">
        <f>13500*T30</f>
        <v>6750</v>
      </c>
      <c r="AF30" s="190">
        <f>AE30-AB30</f>
        <v>2750</v>
      </c>
      <c r="AG30" s="689">
        <f>8000*T30</f>
        <v>4000</v>
      </c>
      <c r="AH30" s="190">
        <f>AG30-(R30+Z30)*T30</f>
        <v>856</v>
      </c>
      <c r="AI30" s="191">
        <f>G30*T30</f>
        <v>2620</v>
      </c>
      <c r="AJ30" s="191">
        <f>G30*T30</f>
        <v>2620</v>
      </c>
      <c r="AK30" s="191">
        <f>R30*S30</f>
        <v>0</v>
      </c>
      <c r="AL30" s="191">
        <f>R30*T30</f>
        <v>2620</v>
      </c>
      <c r="AM30" s="191">
        <f t="shared" si="32"/>
        <v>-2620</v>
      </c>
      <c r="AN30" s="191">
        <f t="shared" si="32"/>
        <v>0</v>
      </c>
      <c r="AO30" s="193">
        <f>Z30*T30</f>
        <v>524</v>
      </c>
      <c r="AP30" s="193">
        <f>Z30*T30</f>
        <v>524</v>
      </c>
      <c r="AQ30" s="193">
        <f>AA30</f>
        <v>856</v>
      </c>
      <c r="AR30" s="193">
        <f>W30*T30</f>
        <v>0</v>
      </c>
      <c r="AS30" s="193">
        <f>W30*T30</f>
        <v>0</v>
      </c>
      <c r="AT30" s="197">
        <f>AK30</f>
        <v>0</v>
      </c>
      <c r="AU30" s="197">
        <f t="shared" si="13"/>
        <v>2620</v>
      </c>
      <c r="AV30" s="191"/>
      <c r="AW30" s="236">
        <f>R30*T30</f>
        <v>2620</v>
      </c>
      <c r="AX30" s="236"/>
      <c r="AY30" s="619"/>
      <c r="AZ30" s="619"/>
      <c r="BA30" s="619"/>
    </row>
    <row r="31" spans="2:53" s="69" customFormat="1" ht="33">
      <c r="B31" s="660">
        <f>1+B30</f>
        <v>15</v>
      </c>
      <c r="C31" s="185" t="s">
        <v>1166</v>
      </c>
      <c r="D31" s="200"/>
      <c r="E31" s="660" t="s">
        <v>1167</v>
      </c>
      <c r="F31" s="194">
        <v>5</v>
      </c>
      <c r="G31" s="187">
        <v>4345</v>
      </c>
      <c r="H31" s="687"/>
      <c r="I31" s="187"/>
      <c r="J31" s="687"/>
      <c r="K31" s="187"/>
      <c r="L31" s="187"/>
      <c r="M31" s="687"/>
      <c r="N31" s="187"/>
      <c r="O31" s="687"/>
      <c r="P31" s="187"/>
      <c r="Q31" s="187"/>
      <c r="R31" s="187">
        <f>G31+I31+K31+L31+N31+P31+Q31</f>
        <v>4345</v>
      </c>
      <c r="S31" s="187">
        <v>1</v>
      </c>
      <c r="T31" s="187"/>
      <c r="U31" s="187"/>
      <c r="V31" s="687"/>
      <c r="W31" s="187"/>
      <c r="X31" s="674"/>
      <c r="Y31" s="688"/>
      <c r="Z31" s="187"/>
      <c r="AA31" s="187">
        <f>AH31</f>
        <v>3655</v>
      </c>
      <c r="AB31" s="187">
        <f>(R31+Z31+U31+W31)*S31+AA31</f>
        <v>8000</v>
      </c>
      <c r="AC31" s="689">
        <f>AF31</f>
        <v>0</v>
      </c>
      <c r="AD31" s="689">
        <f>AB31+AC31</f>
        <v>8000</v>
      </c>
      <c r="AE31" s="695">
        <f>AB31</f>
        <v>8000</v>
      </c>
      <c r="AF31" s="190">
        <f>AE31-AB31</f>
        <v>0</v>
      </c>
      <c r="AG31" s="689">
        <f>8000*S31</f>
        <v>8000</v>
      </c>
      <c r="AH31" s="190">
        <f>AG31-(R31*S31)</f>
        <v>3655</v>
      </c>
      <c r="AI31" s="191">
        <f>G31*S31</f>
        <v>4345</v>
      </c>
      <c r="AJ31" s="191">
        <f>G31*T31</f>
        <v>0</v>
      </c>
      <c r="AK31" s="191">
        <f>R31*S31</f>
        <v>4345</v>
      </c>
      <c r="AL31" s="191">
        <f>R31*T31</f>
        <v>0</v>
      </c>
      <c r="AM31" s="191">
        <f t="shared" si="32"/>
        <v>0</v>
      </c>
      <c r="AN31" s="191">
        <f t="shared" si="32"/>
        <v>0</v>
      </c>
      <c r="AO31" s="193">
        <f>Z31*S31</f>
        <v>0</v>
      </c>
      <c r="AP31" s="193">
        <f>Z31*T31</f>
        <v>0</v>
      </c>
      <c r="AQ31" s="193">
        <f>AA31</f>
        <v>3655</v>
      </c>
      <c r="AR31" s="193">
        <f>W31*S31</f>
        <v>0</v>
      </c>
      <c r="AS31" s="193">
        <f>W31*S31</f>
        <v>0</v>
      </c>
      <c r="AT31" s="197">
        <f t="shared" si="13"/>
        <v>4345</v>
      </c>
      <c r="AU31" s="197">
        <f>AL31</f>
        <v>0</v>
      </c>
      <c r="AV31" s="191"/>
      <c r="AW31" s="236">
        <f>R31*S31</f>
        <v>4345</v>
      </c>
      <c r="AX31" s="236"/>
      <c r="AY31" s="619"/>
      <c r="AZ31" s="619"/>
      <c r="BA31" s="619"/>
    </row>
    <row r="32" spans="2:53" s="69" customFormat="1" ht="31.5">
      <c r="B32" s="660"/>
      <c r="C32" s="168" t="s">
        <v>1662</v>
      </c>
      <c r="D32" s="195"/>
      <c r="E32" s="181"/>
      <c r="F32" s="181"/>
      <c r="G32" s="171">
        <f>SUM(G29:G31)</f>
        <v>14505</v>
      </c>
      <c r="H32" s="693"/>
      <c r="I32" s="171"/>
      <c r="J32" s="693"/>
      <c r="K32" s="171"/>
      <c r="L32" s="171"/>
      <c r="M32" s="693"/>
      <c r="N32" s="171"/>
      <c r="O32" s="693"/>
      <c r="P32" s="171"/>
      <c r="Q32" s="171"/>
      <c r="R32" s="171">
        <f>SUM(R29:R31)</f>
        <v>14505</v>
      </c>
      <c r="S32" s="171">
        <f>SUM(S29:S31)</f>
        <v>2</v>
      </c>
      <c r="T32" s="171">
        <f>SUM(T29:T31)</f>
        <v>0.5</v>
      </c>
      <c r="U32" s="171"/>
      <c r="V32" s="693"/>
      <c r="W32" s="171"/>
      <c r="X32" s="693"/>
      <c r="Y32" s="693"/>
      <c r="Z32" s="171">
        <f>SUM(Z29:Z31)</f>
        <v>1048</v>
      </c>
      <c r="AA32" s="171">
        <f>SUM(AA29:AA31)</f>
        <v>7591</v>
      </c>
      <c r="AB32" s="171">
        <f>SUM(AB29:AB31)</f>
        <v>20000</v>
      </c>
      <c r="AC32" s="171">
        <f>SUM(AC29:AC31)</f>
        <v>2750</v>
      </c>
      <c r="AD32" s="171">
        <f>SUM(AD29:AD31)</f>
        <v>22750</v>
      </c>
      <c r="AE32" s="171">
        <f t="shared" ref="AE32:AV32" si="33">SUM(AE29:AE31)</f>
        <v>22750</v>
      </c>
      <c r="AF32" s="171">
        <f t="shared" si="33"/>
        <v>2750</v>
      </c>
      <c r="AG32" s="171">
        <f t="shared" si="33"/>
        <v>20000</v>
      </c>
      <c r="AH32" s="171">
        <f t="shared" si="33"/>
        <v>7591</v>
      </c>
      <c r="AI32" s="171">
        <f t="shared" si="33"/>
        <v>11885</v>
      </c>
      <c r="AJ32" s="171">
        <f t="shared" si="33"/>
        <v>2620</v>
      </c>
      <c r="AK32" s="171">
        <f t="shared" si="33"/>
        <v>9265</v>
      </c>
      <c r="AL32" s="171">
        <f t="shared" si="33"/>
        <v>2620</v>
      </c>
      <c r="AM32" s="171">
        <f t="shared" si="33"/>
        <v>-2620</v>
      </c>
      <c r="AN32" s="171">
        <f t="shared" si="33"/>
        <v>0</v>
      </c>
      <c r="AO32" s="171">
        <f t="shared" si="33"/>
        <v>524</v>
      </c>
      <c r="AP32" s="171">
        <f t="shared" si="33"/>
        <v>524</v>
      </c>
      <c r="AQ32" s="171">
        <f t="shared" si="33"/>
        <v>7591</v>
      </c>
      <c r="AR32" s="171">
        <f t="shared" si="33"/>
        <v>0</v>
      </c>
      <c r="AS32" s="171">
        <f t="shared" si="33"/>
        <v>0</v>
      </c>
      <c r="AT32" s="171">
        <f t="shared" si="33"/>
        <v>9265</v>
      </c>
      <c r="AU32" s="171">
        <f t="shared" si="33"/>
        <v>2620</v>
      </c>
      <c r="AV32" s="171">
        <f t="shared" si="33"/>
        <v>0</v>
      </c>
      <c r="AW32" s="171">
        <f>SUM(AW29:AW31)</f>
        <v>11885</v>
      </c>
      <c r="AX32" s="171">
        <f>SUM(AX29:AX31)</f>
        <v>5500</v>
      </c>
      <c r="AY32" s="619"/>
      <c r="AZ32" s="619"/>
      <c r="BA32" s="619"/>
    </row>
    <row r="33" spans="2:53" s="69" customFormat="1" ht="31.5">
      <c r="B33" s="660"/>
      <c r="C33" s="181" t="s">
        <v>206</v>
      </c>
      <c r="D33" s="195"/>
      <c r="E33" s="181"/>
      <c r="F33" s="181"/>
      <c r="G33" s="171"/>
      <c r="H33" s="693"/>
      <c r="I33" s="171"/>
      <c r="J33" s="693"/>
      <c r="K33" s="171"/>
      <c r="L33" s="171"/>
      <c r="M33" s="693"/>
      <c r="N33" s="171"/>
      <c r="O33" s="693"/>
      <c r="P33" s="171"/>
      <c r="Q33" s="171"/>
      <c r="R33" s="171"/>
      <c r="S33" s="171"/>
      <c r="T33" s="171"/>
      <c r="U33" s="171"/>
      <c r="V33" s="693"/>
      <c r="W33" s="171"/>
      <c r="X33" s="693"/>
      <c r="Y33" s="693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619"/>
      <c r="AZ33" s="619"/>
      <c r="BA33" s="619"/>
    </row>
    <row r="34" spans="2:53" s="69" customFormat="1" ht="33">
      <c r="B34" s="660">
        <f>B31+1</f>
        <v>16</v>
      </c>
      <c r="C34" s="860" t="s">
        <v>207</v>
      </c>
      <c r="D34" s="860"/>
      <c r="E34" s="182" t="s">
        <v>1305</v>
      </c>
      <c r="F34" s="182">
        <v>10</v>
      </c>
      <c r="G34" s="861">
        <v>5815</v>
      </c>
      <c r="H34" s="693"/>
      <c r="I34" s="171"/>
      <c r="J34" s="693"/>
      <c r="K34" s="171"/>
      <c r="L34" s="171"/>
      <c r="M34" s="693"/>
      <c r="N34" s="171"/>
      <c r="O34" s="693"/>
      <c r="P34" s="171"/>
      <c r="Q34" s="171"/>
      <c r="R34" s="187">
        <f>G34+I34+K34+L34+N34+P34+Q34</f>
        <v>5815</v>
      </c>
      <c r="S34" s="861">
        <v>1</v>
      </c>
      <c r="T34" s="171"/>
      <c r="U34" s="171"/>
      <c r="V34" s="693"/>
      <c r="W34" s="171"/>
      <c r="X34" s="693"/>
      <c r="Y34" s="693"/>
      <c r="Z34" s="171"/>
      <c r="AA34" s="187">
        <f>AH34</f>
        <v>2185</v>
      </c>
      <c r="AB34" s="187">
        <f>(R34+Z34+U34+W34)*S34+AA34</f>
        <v>8000</v>
      </c>
      <c r="AC34" s="689">
        <f>AF34</f>
        <v>0</v>
      </c>
      <c r="AD34" s="689">
        <f>AB34+AC34</f>
        <v>8000</v>
      </c>
      <c r="AE34" s="695">
        <f>AB34</f>
        <v>8000</v>
      </c>
      <c r="AF34" s="190">
        <f>AE34-AB34</f>
        <v>0</v>
      </c>
      <c r="AG34" s="689">
        <f>8000*S34</f>
        <v>8000</v>
      </c>
      <c r="AH34" s="190">
        <f>AG34-(R34*S34)</f>
        <v>2185</v>
      </c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236">
        <f>R34*S34</f>
        <v>5815</v>
      </c>
      <c r="AX34" s="236">
        <f>13500*S34-AB34</f>
        <v>5500</v>
      </c>
      <c r="AY34" s="619"/>
      <c r="AZ34" s="619"/>
      <c r="BA34" s="619"/>
    </row>
    <row r="35" spans="2:53" s="69" customFormat="1" ht="33">
      <c r="B35" s="660">
        <f>B34+1</f>
        <v>17</v>
      </c>
      <c r="C35" s="860" t="s">
        <v>208</v>
      </c>
      <c r="D35" s="195"/>
      <c r="E35" s="182" t="s">
        <v>209</v>
      </c>
      <c r="F35" s="182">
        <v>6</v>
      </c>
      <c r="G35" s="861">
        <v>4633</v>
      </c>
      <c r="H35" s="693"/>
      <c r="I35" s="171"/>
      <c r="J35" s="693"/>
      <c r="K35" s="171"/>
      <c r="L35" s="171"/>
      <c r="M35" s="693"/>
      <c r="N35" s="171"/>
      <c r="O35" s="693"/>
      <c r="P35" s="171"/>
      <c r="Q35" s="171"/>
      <c r="R35" s="187">
        <f>G35+I35+K35+L35+N35+P35+Q35</f>
        <v>4633</v>
      </c>
      <c r="S35" s="861">
        <v>1</v>
      </c>
      <c r="T35" s="171"/>
      <c r="U35" s="171"/>
      <c r="V35" s="693"/>
      <c r="W35" s="171"/>
      <c r="X35" s="693"/>
      <c r="Y35" s="693"/>
      <c r="Z35" s="171"/>
      <c r="AA35" s="187">
        <f>AH35</f>
        <v>3367</v>
      </c>
      <c r="AB35" s="187">
        <f>(R35+Z35+U35+W35)*S35+AA35</f>
        <v>8000</v>
      </c>
      <c r="AC35" s="689">
        <f>AF35</f>
        <v>0</v>
      </c>
      <c r="AD35" s="689">
        <f>AB35+AC35</f>
        <v>8000</v>
      </c>
      <c r="AE35" s="695">
        <f>AB35</f>
        <v>8000</v>
      </c>
      <c r="AF35" s="190">
        <f>AE35-AB35</f>
        <v>0</v>
      </c>
      <c r="AG35" s="689">
        <f>8000*S35</f>
        <v>8000</v>
      </c>
      <c r="AH35" s="190">
        <f>AG35-(R35*S35)</f>
        <v>3367</v>
      </c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236">
        <f>R35*S35</f>
        <v>4633</v>
      </c>
      <c r="AX35" s="236">
        <f>13500*S35-AB35</f>
        <v>5500</v>
      </c>
      <c r="AY35" s="619"/>
      <c r="AZ35" s="619"/>
      <c r="BA35" s="619"/>
    </row>
    <row r="36" spans="2:53" s="69" customFormat="1" ht="31.5">
      <c r="B36" s="660"/>
      <c r="C36" s="168" t="s">
        <v>1662</v>
      </c>
      <c r="D36" s="195"/>
      <c r="E36" s="181"/>
      <c r="F36" s="181"/>
      <c r="G36" s="171">
        <f>SUM(G34:G35)</f>
        <v>10448</v>
      </c>
      <c r="H36" s="693"/>
      <c r="I36" s="171"/>
      <c r="J36" s="693"/>
      <c r="K36" s="171"/>
      <c r="L36" s="171"/>
      <c r="M36" s="693"/>
      <c r="N36" s="171"/>
      <c r="O36" s="693"/>
      <c r="P36" s="171"/>
      <c r="Q36" s="171"/>
      <c r="R36" s="171">
        <f>SUM(R34:R35)</f>
        <v>10448</v>
      </c>
      <c r="S36" s="171">
        <f>SUM(S34:S35)</f>
        <v>2</v>
      </c>
      <c r="T36" s="171"/>
      <c r="U36" s="171"/>
      <c r="V36" s="693"/>
      <c r="W36" s="171"/>
      <c r="X36" s="693"/>
      <c r="Y36" s="693"/>
      <c r="Z36" s="171"/>
      <c r="AA36" s="171">
        <f t="shared" ref="AA36:AH36" si="34">SUM(AA34:AA35)</f>
        <v>5552</v>
      </c>
      <c r="AB36" s="171">
        <f t="shared" si="34"/>
        <v>16000</v>
      </c>
      <c r="AC36" s="171">
        <f t="shared" si="34"/>
        <v>0</v>
      </c>
      <c r="AD36" s="171">
        <f t="shared" si="34"/>
        <v>16000</v>
      </c>
      <c r="AE36" s="171">
        <f t="shared" si="34"/>
        <v>16000</v>
      </c>
      <c r="AF36" s="171">
        <f t="shared" si="34"/>
        <v>0</v>
      </c>
      <c r="AG36" s="171">
        <f t="shared" si="34"/>
        <v>16000</v>
      </c>
      <c r="AH36" s="171">
        <f t="shared" si="34"/>
        <v>5552</v>
      </c>
      <c r="AI36" s="171">
        <f t="shared" ref="AI36:AW36" si="35">SUM(AI34:AI35)</f>
        <v>0</v>
      </c>
      <c r="AJ36" s="171">
        <f t="shared" si="35"/>
        <v>0</v>
      </c>
      <c r="AK36" s="171">
        <f t="shared" si="35"/>
        <v>0</v>
      </c>
      <c r="AL36" s="171">
        <f t="shared" si="35"/>
        <v>0</v>
      </c>
      <c r="AM36" s="171">
        <f t="shared" si="35"/>
        <v>0</v>
      </c>
      <c r="AN36" s="171">
        <f t="shared" si="35"/>
        <v>0</v>
      </c>
      <c r="AO36" s="171">
        <f t="shared" si="35"/>
        <v>0</v>
      </c>
      <c r="AP36" s="171">
        <f t="shared" si="35"/>
        <v>0</v>
      </c>
      <c r="AQ36" s="171">
        <f t="shared" si="35"/>
        <v>0</v>
      </c>
      <c r="AR36" s="171">
        <f t="shared" si="35"/>
        <v>0</v>
      </c>
      <c r="AS36" s="171">
        <f t="shared" si="35"/>
        <v>0</v>
      </c>
      <c r="AT36" s="171">
        <f t="shared" si="35"/>
        <v>0</v>
      </c>
      <c r="AU36" s="171">
        <f t="shared" si="35"/>
        <v>0</v>
      </c>
      <c r="AV36" s="171">
        <f t="shared" si="35"/>
        <v>0</v>
      </c>
      <c r="AW36" s="171">
        <f t="shared" si="35"/>
        <v>10448</v>
      </c>
      <c r="AX36" s="171">
        <f>SUM(AX34:AX35)</f>
        <v>11000</v>
      </c>
      <c r="AY36" s="619"/>
      <c r="AZ36" s="619"/>
      <c r="BA36" s="619"/>
    </row>
    <row r="37" spans="2:53" s="69" customFormat="1" ht="61.5">
      <c r="B37" s="660"/>
      <c r="C37" s="179" t="s">
        <v>1779</v>
      </c>
      <c r="D37" s="195"/>
      <c r="E37" s="181"/>
      <c r="F37" s="181"/>
      <c r="G37" s="171"/>
      <c r="H37" s="693"/>
      <c r="I37" s="171"/>
      <c r="J37" s="693"/>
      <c r="K37" s="171"/>
      <c r="L37" s="171"/>
      <c r="M37" s="693"/>
      <c r="N37" s="171"/>
      <c r="O37" s="693"/>
      <c r="P37" s="171"/>
      <c r="Q37" s="171"/>
      <c r="R37" s="171"/>
      <c r="S37" s="171"/>
      <c r="T37" s="171"/>
      <c r="U37" s="171"/>
      <c r="V37" s="693"/>
      <c r="W37" s="171"/>
      <c r="X37" s="693"/>
      <c r="Y37" s="693"/>
      <c r="Z37" s="171"/>
      <c r="AA37" s="171"/>
      <c r="AB37" s="171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7"/>
      <c r="AU37" s="197"/>
      <c r="AV37" s="196"/>
      <c r="AW37" s="209"/>
      <c r="AX37" s="236"/>
      <c r="AY37" s="619"/>
      <c r="AZ37" s="619"/>
      <c r="BA37" s="619"/>
    </row>
    <row r="38" spans="2:53" s="69" customFormat="1" ht="33">
      <c r="B38" s="660"/>
      <c r="C38" s="185"/>
      <c r="D38" s="186"/>
      <c r="E38" s="660"/>
      <c r="F38" s="660"/>
      <c r="G38" s="187"/>
      <c r="H38" s="687"/>
      <c r="I38" s="187"/>
      <c r="J38" s="687"/>
      <c r="K38" s="187"/>
      <c r="L38" s="187"/>
      <c r="M38" s="687"/>
      <c r="N38" s="187"/>
      <c r="O38" s="687"/>
      <c r="P38" s="187"/>
      <c r="Q38" s="187"/>
      <c r="R38" s="187">
        <f t="shared" ref="R38:R45" si="36">G38+I38+K38+L38+N38+P38+Q38</f>
        <v>0</v>
      </c>
      <c r="S38" s="187"/>
      <c r="T38" s="194"/>
      <c r="U38" s="194"/>
      <c r="V38" s="692"/>
      <c r="W38" s="194"/>
      <c r="X38" s="674"/>
      <c r="Y38" s="688"/>
      <c r="Z38" s="187"/>
      <c r="AA38" s="187">
        <f t="shared" ref="AA38:AA45" si="37">AH38</f>
        <v>0</v>
      </c>
      <c r="AB38" s="187">
        <f>(R38+AA38)*S38</f>
        <v>0</v>
      </c>
      <c r="AC38" s="689">
        <f t="shared" ref="AC38:AC45" si="38">AF38</f>
        <v>0</v>
      </c>
      <c r="AD38" s="689">
        <f t="shared" ref="AD38:AD45" si="39">AB38+AC38</f>
        <v>0</v>
      </c>
      <c r="AE38" s="190">
        <f t="shared" ref="AE38:AE45" si="40">AB38</f>
        <v>0</v>
      </c>
      <c r="AF38" s="190">
        <f t="shared" ref="AF38:AF45" si="41">AE38-AB38</f>
        <v>0</v>
      </c>
      <c r="AG38" s="689">
        <f>8000*S38</f>
        <v>0</v>
      </c>
      <c r="AH38" s="190">
        <f>AG38-(R38*S38)</f>
        <v>0</v>
      </c>
      <c r="AI38" s="191">
        <f>G38*S38</f>
        <v>0</v>
      </c>
      <c r="AJ38" s="191">
        <f>G38*T38</f>
        <v>0</v>
      </c>
      <c r="AK38" s="191">
        <f>R38*S38</f>
        <v>0</v>
      </c>
      <c r="AL38" s="191">
        <f>R38*T38</f>
        <v>0</v>
      </c>
      <c r="AM38" s="191">
        <f t="shared" ref="AM38:AN45" si="42">AK38-AI38</f>
        <v>0</v>
      </c>
      <c r="AN38" s="191">
        <f t="shared" si="42"/>
        <v>0</v>
      </c>
      <c r="AO38" s="193">
        <f t="shared" ref="AO38:AO44" si="43">Z38*S38</f>
        <v>0</v>
      </c>
      <c r="AP38" s="193">
        <f t="shared" ref="AP38:AP43" si="44">Z38*T38</f>
        <v>0</v>
      </c>
      <c r="AQ38" s="193">
        <f t="shared" ref="AQ38:AQ44" si="45">AA38</f>
        <v>0</v>
      </c>
      <c r="AR38" s="193">
        <f t="shared" ref="AR38:AR44" si="46">W38*S38</f>
        <v>0</v>
      </c>
      <c r="AS38" s="193">
        <f t="shared" ref="AS38:AS44" si="47">W38*T38</f>
        <v>0</v>
      </c>
      <c r="AT38" s="197">
        <f t="shared" si="13"/>
        <v>0</v>
      </c>
      <c r="AU38" s="197">
        <f t="shared" si="13"/>
        <v>0</v>
      </c>
      <c r="AV38" s="191"/>
      <c r="AW38" s="236">
        <f>R38*S38</f>
        <v>0</v>
      </c>
      <c r="AX38" s="236">
        <f>13500*S38-AB38</f>
        <v>0</v>
      </c>
      <c r="AY38" s="619"/>
      <c r="AZ38" s="619"/>
      <c r="BA38" s="619"/>
    </row>
    <row r="39" spans="2:53" s="69" customFormat="1" ht="33">
      <c r="B39" s="660">
        <f>B35+1</f>
        <v>18</v>
      </c>
      <c r="C39" s="185" t="s">
        <v>1189</v>
      </c>
      <c r="D39" s="186" t="s">
        <v>1190</v>
      </c>
      <c r="E39" s="660" t="s">
        <v>1191</v>
      </c>
      <c r="F39" s="660">
        <v>10</v>
      </c>
      <c r="G39" s="187">
        <v>5815</v>
      </c>
      <c r="H39" s="687"/>
      <c r="I39" s="187"/>
      <c r="J39" s="687"/>
      <c r="K39" s="187"/>
      <c r="L39" s="187"/>
      <c r="M39" s="687"/>
      <c r="N39" s="187"/>
      <c r="O39" s="687"/>
      <c r="P39" s="187"/>
      <c r="Q39" s="187"/>
      <c r="R39" s="187">
        <f t="shared" si="36"/>
        <v>5815</v>
      </c>
      <c r="S39" s="187">
        <v>1</v>
      </c>
      <c r="T39" s="194"/>
      <c r="U39" s="194"/>
      <c r="V39" s="692"/>
      <c r="W39" s="194"/>
      <c r="X39" s="674"/>
      <c r="Y39" s="688"/>
      <c r="Z39" s="187"/>
      <c r="AA39" s="187">
        <f t="shared" si="37"/>
        <v>2185</v>
      </c>
      <c r="AB39" s="187">
        <f>(R39+Z39+U39+W39)*S39+AA39</f>
        <v>8000</v>
      </c>
      <c r="AC39" s="689">
        <f t="shared" si="38"/>
        <v>0</v>
      </c>
      <c r="AD39" s="689">
        <f t="shared" si="39"/>
        <v>8000</v>
      </c>
      <c r="AE39" s="190">
        <f t="shared" si="40"/>
        <v>8000</v>
      </c>
      <c r="AF39" s="190">
        <f t="shared" si="41"/>
        <v>0</v>
      </c>
      <c r="AG39" s="689">
        <f>8000*S39</f>
        <v>8000</v>
      </c>
      <c r="AH39" s="190">
        <f>AG39-(R39*S39)</f>
        <v>2185</v>
      </c>
      <c r="AI39" s="191">
        <f>G39*S39</f>
        <v>5815</v>
      </c>
      <c r="AJ39" s="191">
        <f>G39*T39</f>
        <v>0</v>
      </c>
      <c r="AK39" s="191">
        <f>R39*S39</f>
        <v>5815</v>
      </c>
      <c r="AL39" s="191">
        <f t="shared" ref="AL39:AL45" si="48">R39*T39</f>
        <v>0</v>
      </c>
      <c r="AM39" s="191">
        <f t="shared" si="42"/>
        <v>0</v>
      </c>
      <c r="AN39" s="191">
        <f t="shared" si="42"/>
        <v>0</v>
      </c>
      <c r="AO39" s="193">
        <f t="shared" si="43"/>
        <v>0</v>
      </c>
      <c r="AP39" s="193">
        <f t="shared" si="44"/>
        <v>0</v>
      </c>
      <c r="AQ39" s="193">
        <f t="shared" si="45"/>
        <v>2185</v>
      </c>
      <c r="AR39" s="193">
        <f t="shared" si="46"/>
        <v>0</v>
      </c>
      <c r="AS39" s="193">
        <f t="shared" si="47"/>
        <v>0</v>
      </c>
      <c r="AT39" s="197">
        <f t="shared" si="13"/>
        <v>5815</v>
      </c>
      <c r="AU39" s="197">
        <f t="shared" si="13"/>
        <v>0</v>
      </c>
      <c r="AV39" s="191"/>
      <c r="AW39" s="236">
        <f>R39*S39</f>
        <v>5815</v>
      </c>
      <c r="AX39" s="236">
        <f>13500*S39-AB39</f>
        <v>5500</v>
      </c>
      <c r="AY39" s="619"/>
      <c r="AZ39" s="619"/>
      <c r="BA39" s="619"/>
    </row>
    <row r="40" spans="2:53" s="69" customFormat="1" ht="33">
      <c r="B40" s="660">
        <f>1+B39</f>
        <v>19</v>
      </c>
      <c r="C40" s="185" t="s">
        <v>1311</v>
      </c>
      <c r="D40" s="186"/>
      <c r="E40" s="660" t="s">
        <v>1187</v>
      </c>
      <c r="F40" s="660">
        <v>7</v>
      </c>
      <c r="G40" s="187">
        <v>4920</v>
      </c>
      <c r="H40" s="687"/>
      <c r="I40" s="187"/>
      <c r="J40" s="687"/>
      <c r="K40" s="187"/>
      <c r="L40" s="187"/>
      <c r="M40" s="687"/>
      <c r="N40" s="187"/>
      <c r="O40" s="687"/>
      <c r="P40" s="187"/>
      <c r="Q40" s="187"/>
      <c r="R40" s="187">
        <f t="shared" si="36"/>
        <v>4920</v>
      </c>
      <c r="S40" s="187"/>
      <c r="T40" s="187">
        <v>0.5</v>
      </c>
      <c r="U40" s="194"/>
      <c r="V40" s="692"/>
      <c r="W40" s="194"/>
      <c r="X40" s="674"/>
      <c r="Y40" s="688"/>
      <c r="Z40" s="187"/>
      <c r="AA40" s="187">
        <f t="shared" si="37"/>
        <v>1540</v>
      </c>
      <c r="AB40" s="187">
        <f>(R40+Z40+U40+W40)*T40+AA40</f>
        <v>4000</v>
      </c>
      <c r="AC40" s="689">
        <f t="shared" si="38"/>
        <v>0</v>
      </c>
      <c r="AD40" s="689">
        <f t="shared" si="39"/>
        <v>4000</v>
      </c>
      <c r="AE40" s="190">
        <f t="shared" si="40"/>
        <v>4000</v>
      </c>
      <c r="AF40" s="190">
        <f t="shared" si="41"/>
        <v>0</v>
      </c>
      <c r="AG40" s="689">
        <f>8000*T40</f>
        <v>4000</v>
      </c>
      <c r="AH40" s="190">
        <f>AG40-(R40*T40)</f>
        <v>1540</v>
      </c>
      <c r="AI40" s="191">
        <f>G40*T40</f>
        <v>2460</v>
      </c>
      <c r="AJ40" s="191">
        <f>G40*T40</f>
        <v>2460</v>
      </c>
      <c r="AK40" s="191">
        <f>R40*T40</f>
        <v>2460</v>
      </c>
      <c r="AL40" s="191">
        <f t="shared" si="48"/>
        <v>2460</v>
      </c>
      <c r="AM40" s="191">
        <f t="shared" si="42"/>
        <v>0</v>
      </c>
      <c r="AN40" s="191">
        <f t="shared" si="42"/>
        <v>0</v>
      </c>
      <c r="AO40" s="193">
        <f t="shared" si="43"/>
        <v>0</v>
      </c>
      <c r="AP40" s="193">
        <f t="shared" si="44"/>
        <v>0</v>
      </c>
      <c r="AQ40" s="193">
        <f t="shared" si="45"/>
        <v>1540</v>
      </c>
      <c r="AR40" s="193">
        <f t="shared" si="46"/>
        <v>0</v>
      </c>
      <c r="AS40" s="193">
        <f t="shared" si="47"/>
        <v>0</v>
      </c>
      <c r="AT40" s="197">
        <f t="shared" si="13"/>
        <v>2460</v>
      </c>
      <c r="AU40" s="197">
        <f t="shared" si="13"/>
        <v>2460</v>
      </c>
      <c r="AV40" s="191"/>
      <c r="AW40" s="236">
        <f>R40*T40</f>
        <v>2460</v>
      </c>
      <c r="AX40" s="236">
        <f>13500*T40-AB40</f>
        <v>2750</v>
      </c>
      <c r="AY40" s="619"/>
      <c r="AZ40" s="619"/>
      <c r="BA40" s="619"/>
    </row>
    <row r="41" spans="2:53" s="69" customFormat="1" ht="37.5" customHeight="1">
      <c r="B41" s="660">
        <f>1+B40</f>
        <v>20</v>
      </c>
      <c r="C41" s="185" t="s">
        <v>1311</v>
      </c>
      <c r="D41" s="186"/>
      <c r="E41" s="660" t="s">
        <v>1667</v>
      </c>
      <c r="F41" s="660">
        <v>7</v>
      </c>
      <c r="G41" s="187">
        <v>4920</v>
      </c>
      <c r="H41" s="687"/>
      <c r="I41" s="187"/>
      <c r="J41" s="687"/>
      <c r="K41" s="187"/>
      <c r="L41" s="187"/>
      <c r="M41" s="687"/>
      <c r="N41" s="187"/>
      <c r="O41" s="687"/>
      <c r="P41" s="187"/>
      <c r="Q41" s="187"/>
      <c r="R41" s="187">
        <f t="shared" si="36"/>
        <v>4920</v>
      </c>
      <c r="S41" s="187">
        <v>0.5</v>
      </c>
      <c r="T41" s="187"/>
      <c r="U41" s="194"/>
      <c r="V41" s="692"/>
      <c r="W41" s="194"/>
      <c r="X41" s="674"/>
      <c r="Y41" s="688"/>
      <c r="Z41" s="187"/>
      <c r="AA41" s="187">
        <f t="shared" si="37"/>
        <v>1540</v>
      </c>
      <c r="AB41" s="187">
        <f>(R41+Z41+U41+W41)*S41+AA41</f>
        <v>4000</v>
      </c>
      <c r="AC41" s="689">
        <f t="shared" si="38"/>
        <v>0</v>
      </c>
      <c r="AD41" s="689">
        <f t="shared" si="39"/>
        <v>4000</v>
      </c>
      <c r="AE41" s="190">
        <f t="shared" si="40"/>
        <v>4000</v>
      </c>
      <c r="AF41" s="190">
        <f t="shared" si="41"/>
        <v>0</v>
      </c>
      <c r="AG41" s="689">
        <f>8000*S41</f>
        <v>4000</v>
      </c>
      <c r="AH41" s="190">
        <f>AG41-(R41*S41)</f>
        <v>1540</v>
      </c>
      <c r="AI41" s="191">
        <f>G41*S41</f>
        <v>2460</v>
      </c>
      <c r="AJ41" s="191">
        <f>G41*S41</f>
        <v>2460</v>
      </c>
      <c r="AK41" s="191">
        <f>R41*S41</f>
        <v>2460</v>
      </c>
      <c r="AL41" s="191">
        <f t="shared" si="48"/>
        <v>0</v>
      </c>
      <c r="AM41" s="191">
        <f t="shared" si="42"/>
        <v>0</v>
      </c>
      <c r="AN41" s="191">
        <f t="shared" si="42"/>
        <v>-2460</v>
      </c>
      <c r="AO41" s="193">
        <f t="shared" si="43"/>
        <v>0</v>
      </c>
      <c r="AP41" s="193">
        <f t="shared" si="44"/>
        <v>0</v>
      </c>
      <c r="AQ41" s="193">
        <f t="shared" si="45"/>
        <v>1540</v>
      </c>
      <c r="AR41" s="193">
        <f t="shared" si="46"/>
        <v>0</v>
      </c>
      <c r="AS41" s="193">
        <f t="shared" si="47"/>
        <v>0</v>
      </c>
      <c r="AT41" s="197">
        <f t="shared" si="13"/>
        <v>2460</v>
      </c>
      <c r="AU41" s="197">
        <f t="shared" si="13"/>
        <v>0</v>
      </c>
      <c r="AV41" s="191"/>
      <c r="AW41" s="236">
        <f>R41*S41</f>
        <v>2460</v>
      </c>
      <c r="AX41" s="236">
        <f>13500*S41-AB41</f>
        <v>2750</v>
      </c>
      <c r="AY41" s="619"/>
      <c r="AZ41" s="619"/>
      <c r="BA41" s="619"/>
    </row>
    <row r="42" spans="2:53" s="71" customFormat="1" ht="33">
      <c r="B42" s="660">
        <f>1+B41</f>
        <v>21</v>
      </c>
      <c r="C42" s="185" t="s">
        <v>1192</v>
      </c>
      <c r="D42" s="186"/>
      <c r="E42" s="660" t="s">
        <v>1667</v>
      </c>
      <c r="F42" s="660">
        <v>7</v>
      </c>
      <c r="G42" s="187">
        <v>4920</v>
      </c>
      <c r="H42" s="687"/>
      <c r="I42" s="187"/>
      <c r="J42" s="687"/>
      <c r="K42" s="187"/>
      <c r="L42" s="187"/>
      <c r="M42" s="687"/>
      <c r="N42" s="187"/>
      <c r="O42" s="687"/>
      <c r="P42" s="187"/>
      <c r="Q42" s="187"/>
      <c r="R42" s="187">
        <f t="shared" si="36"/>
        <v>4920</v>
      </c>
      <c r="S42" s="187">
        <v>1</v>
      </c>
      <c r="T42" s="187"/>
      <c r="U42" s="194"/>
      <c r="V42" s="692"/>
      <c r="W42" s="194"/>
      <c r="X42" s="674"/>
      <c r="Y42" s="688"/>
      <c r="Z42" s="187"/>
      <c r="AA42" s="187">
        <f t="shared" si="37"/>
        <v>3080</v>
      </c>
      <c r="AB42" s="187">
        <f>(R42+AA42)*S42</f>
        <v>8000</v>
      </c>
      <c r="AC42" s="689">
        <f t="shared" si="38"/>
        <v>0</v>
      </c>
      <c r="AD42" s="689">
        <f t="shared" si="39"/>
        <v>8000</v>
      </c>
      <c r="AE42" s="190">
        <f t="shared" si="40"/>
        <v>8000</v>
      </c>
      <c r="AF42" s="190">
        <f t="shared" si="41"/>
        <v>0</v>
      </c>
      <c r="AG42" s="689">
        <f>8000*S42</f>
        <v>8000</v>
      </c>
      <c r="AH42" s="190">
        <f>AG42-(R42*S42)</f>
        <v>3080</v>
      </c>
      <c r="AI42" s="191">
        <f>G42*S42</f>
        <v>4920</v>
      </c>
      <c r="AJ42" s="191">
        <f>G42*T42</f>
        <v>0</v>
      </c>
      <c r="AK42" s="191">
        <f>R42*S42</f>
        <v>4920</v>
      </c>
      <c r="AL42" s="191">
        <f t="shared" si="48"/>
        <v>0</v>
      </c>
      <c r="AM42" s="191">
        <f t="shared" si="42"/>
        <v>0</v>
      </c>
      <c r="AN42" s="191">
        <f t="shared" si="42"/>
        <v>0</v>
      </c>
      <c r="AO42" s="193">
        <f t="shared" si="43"/>
        <v>0</v>
      </c>
      <c r="AP42" s="193">
        <f t="shared" si="44"/>
        <v>0</v>
      </c>
      <c r="AQ42" s="193">
        <f t="shared" si="45"/>
        <v>3080</v>
      </c>
      <c r="AR42" s="193">
        <f t="shared" si="46"/>
        <v>0</v>
      </c>
      <c r="AS42" s="193">
        <f t="shared" si="47"/>
        <v>0</v>
      </c>
      <c r="AT42" s="197">
        <f t="shared" si="13"/>
        <v>4920</v>
      </c>
      <c r="AU42" s="197">
        <f t="shared" si="13"/>
        <v>0</v>
      </c>
      <c r="AV42" s="191"/>
      <c r="AW42" s="236">
        <f>R42*S42</f>
        <v>4920</v>
      </c>
      <c r="AX42" s="236">
        <f>13500*S42-AB42</f>
        <v>5500</v>
      </c>
      <c r="AY42" s="619"/>
      <c r="AZ42" s="619"/>
      <c r="BA42" s="619"/>
    </row>
    <row r="43" spans="2:53" s="69" customFormat="1" ht="33">
      <c r="B43" s="660"/>
      <c r="C43" s="185"/>
      <c r="D43" s="186"/>
      <c r="E43" s="660"/>
      <c r="F43" s="660"/>
      <c r="G43" s="187"/>
      <c r="H43" s="687"/>
      <c r="I43" s="187"/>
      <c r="J43" s="687"/>
      <c r="K43" s="187"/>
      <c r="L43" s="187"/>
      <c r="M43" s="687"/>
      <c r="N43" s="187"/>
      <c r="O43" s="687"/>
      <c r="P43" s="187"/>
      <c r="Q43" s="187"/>
      <c r="R43" s="187">
        <f t="shared" si="36"/>
        <v>0</v>
      </c>
      <c r="S43" s="187"/>
      <c r="T43" s="187"/>
      <c r="U43" s="194"/>
      <c r="V43" s="692"/>
      <c r="W43" s="194"/>
      <c r="X43" s="674"/>
      <c r="Y43" s="688"/>
      <c r="Z43" s="187"/>
      <c r="AA43" s="187">
        <f t="shared" si="37"/>
        <v>0</v>
      </c>
      <c r="AB43" s="187">
        <f>(R43+Z43+U43+W43)*S43+AA43</f>
        <v>0</v>
      </c>
      <c r="AC43" s="689">
        <f t="shared" si="38"/>
        <v>0</v>
      </c>
      <c r="AD43" s="689">
        <f t="shared" si="39"/>
        <v>0</v>
      </c>
      <c r="AE43" s="190">
        <f t="shared" si="40"/>
        <v>0</v>
      </c>
      <c r="AF43" s="190">
        <f t="shared" si="41"/>
        <v>0</v>
      </c>
      <c r="AG43" s="689">
        <f>8000*S43</f>
        <v>0</v>
      </c>
      <c r="AH43" s="190">
        <f>AG43-(R43*S43)</f>
        <v>0</v>
      </c>
      <c r="AI43" s="191">
        <f>G43*S43</f>
        <v>0</v>
      </c>
      <c r="AJ43" s="191">
        <f>G43*T43</f>
        <v>0</v>
      </c>
      <c r="AK43" s="191">
        <f>R43*S43</f>
        <v>0</v>
      </c>
      <c r="AL43" s="191">
        <f t="shared" si="48"/>
        <v>0</v>
      </c>
      <c r="AM43" s="191">
        <f>AK43-AI43</f>
        <v>0</v>
      </c>
      <c r="AN43" s="191">
        <f t="shared" si="42"/>
        <v>0</v>
      </c>
      <c r="AO43" s="193">
        <f t="shared" si="43"/>
        <v>0</v>
      </c>
      <c r="AP43" s="193">
        <f t="shared" si="44"/>
        <v>0</v>
      </c>
      <c r="AQ43" s="193">
        <f t="shared" si="45"/>
        <v>0</v>
      </c>
      <c r="AR43" s="193">
        <f t="shared" si="46"/>
        <v>0</v>
      </c>
      <c r="AS43" s="193">
        <f t="shared" si="47"/>
        <v>0</v>
      </c>
      <c r="AT43" s="197">
        <f t="shared" si="13"/>
        <v>0</v>
      </c>
      <c r="AU43" s="197">
        <f>AL43</f>
        <v>0</v>
      </c>
      <c r="AV43" s="191"/>
      <c r="AW43" s="236">
        <f>R43*S43</f>
        <v>0</v>
      </c>
      <c r="AX43" s="236">
        <f>13500*S43-AB43</f>
        <v>0</v>
      </c>
      <c r="AY43" s="619"/>
      <c r="AZ43" s="619"/>
      <c r="BA43" s="619"/>
    </row>
    <row r="44" spans="2:53" s="69" customFormat="1" ht="33">
      <c r="B44" s="660">
        <f>B42+1</f>
        <v>22</v>
      </c>
      <c r="C44" s="185" t="s">
        <v>1179</v>
      </c>
      <c r="D44" s="186" t="s">
        <v>1180</v>
      </c>
      <c r="E44" s="660" t="s">
        <v>1181</v>
      </c>
      <c r="F44" s="660">
        <v>11</v>
      </c>
      <c r="G44" s="187">
        <v>6294</v>
      </c>
      <c r="H44" s="687"/>
      <c r="I44" s="187"/>
      <c r="J44" s="687"/>
      <c r="K44" s="187"/>
      <c r="L44" s="187"/>
      <c r="M44" s="687"/>
      <c r="N44" s="187"/>
      <c r="O44" s="687"/>
      <c r="P44" s="187"/>
      <c r="Q44" s="187"/>
      <c r="R44" s="187">
        <f t="shared" si="36"/>
        <v>6294</v>
      </c>
      <c r="S44" s="187">
        <v>1</v>
      </c>
      <c r="T44" s="194"/>
      <c r="U44" s="194"/>
      <c r="V44" s="692"/>
      <c r="W44" s="194"/>
      <c r="X44" s="674"/>
      <c r="Y44" s="688"/>
      <c r="Z44" s="187"/>
      <c r="AA44" s="187">
        <f t="shared" si="37"/>
        <v>1706</v>
      </c>
      <c r="AB44" s="187">
        <f>(R44)*S44+AA44</f>
        <v>8000</v>
      </c>
      <c r="AC44" s="689">
        <f t="shared" si="38"/>
        <v>0</v>
      </c>
      <c r="AD44" s="689">
        <f t="shared" si="39"/>
        <v>8000</v>
      </c>
      <c r="AE44" s="190">
        <f t="shared" si="40"/>
        <v>8000</v>
      </c>
      <c r="AF44" s="190">
        <f t="shared" si="41"/>
        <v>0</v>
      </c>
      <c r="AG44" s="689">
        <f>8000*S44</f>
        <v>8000</v>
      </c>
      <c r="AH44" s="190">
        <f>AG44-(R44*S44)</f>
        <v>1706</v>
      </c>
      <c r="AI44" s="191">
        <f>G44*S44</f>
        <v>6294</v>
      </c>
      <c r="AJ44" s="191">
        <f>G44*S44</f>
        <v>6294</v>
      </c>
      <c r="AK44" s="191">
        <f>R44*S44</f>
        <v>6294</v>
      </c>
      <c r="AL44" s="191">
        <f t="shared" si="48"/>
        <v>0</v>
      </c>
      <c r="AM44" s="191">
        <f>AK44-AI44</f>
        <v>0</v>
      </c>
      <c r="AN44" s="191">
        <f t="shared" si="42"/>
        <v>-6294</v>
      </c>
      <c r="AO44" s="193">
        <f t="shared" si="43"/>
        <v>0</v>
      </c>
      <c r="AP44" s="193">
        <f>Z44*S44</f>
        <v>0</v>
      </c>
      <c r="AQ44" s="193">
        <f t="shared" si="45"/>
        <v>1706</v>
      </c>
      <c r="AR44" s="193">
        <f t="shared" si="46"/>
        <v>0</v>
      </c>
      <c r="AS44" s="193">
        <f t="shared" si="47"/>
        <v>0</v>
      </c>
      <c r="AT44" s="197">
        <f t="shared" si="13"/>
        <v>6294</v>
      </c>
      <c r="AU44" s="197">
        <f t="shared" si="13"/>
        <v>0</v>
      </c>
      <c r="AV44" s="191"/>
      <c r="AW44" s="236">
        <f>R44*S44</f>
        <v>6294</v>
      </c>
      <c r="AX44" s="236">
        <f>13500*S44-AB44</f>
        <v>5500</v>
      </c>
      <c r="AY44" s="619"/>
      <c r="AZ44" s="619"/>
      <c r="BA44" s="619"/>
    </row>
    <row r="45" spans="2:53" s="69" customFormat="1" ht="33">
      <c r="B45" s="660">
        <f>1+B44</f>
        <v>23</v>
      </c>
      <c r="C45" s="185" t="s">
        <v>100</v>
      </c>
      <c r="D45" s="186"/>
      <c r="E45" s="660" t="s">
        <v>1305</v>
      </c>
      <c r="F45" s="660">
        <v>7</v>
      </c>
      <c r="G45" s="187">
        <v>4920</v>
      </c>
      <c r="H45" s="687"/>
      <c r="I45" s="187"/>
      <c r="J45" s="687"/>
      <c r="K45" s="187"/>
      <c r="L45" s="187"/>
      <c r="M45" s="687"/>
      <c r="N45" s="187"/>
      <c r="O45" s="687"/>
      <c r="P45" s="187"/>
      <c r="Q45" s="187"/>
      <c r="R45" s="187">
        <f t="shared" si="36"/>
        <v>4920</v>
      </c>
      <c r="S45" s="187"/>
      <c r="T45" s="187">
        <v>0.5</v>
      </c>
      <c r="U45" s="194"/>
      <c r="V45" s="692"/>
      <c r="W45" s="194"/>
      <c r="X45" s="674"/>
      <c r="Y45" s="688"/>
      <c r="Z45" s="187"/>
      <c r="AA45" s="187">
        <f t="shared" si="37"/>
        <v>1540</v>
      </c>
      <c r="AB45" s="187">
        <f>(R45+Z45+U45+W45)*T45+AA45</f>
        <v>4000</v>
      </c>
      <c r="AC45" s="689">
        <f t="shared" si="38"/>
        <v>0</v>
      </c>
      <c r="AD45" s="689">
        <f t="shared" si="39"/>
        <v>4000</v>
      </c>
      <c r="AE45" s="190">
        <f t="shared" si="40"/>
        <v>4000</v>
      </c>
      <c r="AF45" s="190">
        <f t="shared" si="41"/>
        <v>0</v>
      </c>
      <c r="AG45" s="689">
        <f>8000*T45</f>
        <v>4000</v>
      </c>
      <c r="AH45" s="190">
        <f>AG45-(R45*T45)</f>
        <v>1540</v>
      </c>
      <c r="AI45" s="191">
        <f>G45*T45</f>
        <v>2460</v>
      </c>
      <c r="AJ45" s="191">
        <f>G45*T45</f>
        <v>2460</v>
      </c>
      <c r="AK45" s="191">
        <f>R45*T45</f>
        <v>2460</v>
      </c>
      <c r="AL45" s="191">
        <f t="shared" si="48"/>
        <v>2460</v>
      </c>
      <c r="AM45" s="191">
        <f>AK45-AI45</f>
        <v>0</v>
      </c>
      <c r="AN45" s="191">
        <f t="shared" si="42"/>
        <v>0</v>
      </c>
      <c r="AO45" s="193">
        <f>Z45*T45</f>
        <v>0</v>
      </c>
      <c r="AP45" s="193"/>
      <c r="AQ45" s="193"/>
      <c r="AR45" s="193"/>
      <c r="AS45" s="193"/>
      <c r="AT45" s="197"/>
      <c r="AU45" s="197">
        <f t="shared" si="13"/>
        <v>2460</v>
      </c>
      <c r="AV45" s="191"/>
      <c r="AW45" s="236">
        <f>R45*T45</f>
        <v>2460</v>
      </c>
      <c r="AX45" s="236">
        <f>13500*T45-AB45</f>
        <v>2750</v>
      </c>
      <c r="AY45" s="619"/>
      <c r="AZ45" s="619"/>
      <c r="BA45" s="619"/>
    </row>
    <row r="46" spans="2:53" s="69" customFormat="1" ht="31.5">
      <c r="B46" s="660"/>
      <c r="C46" s="168" t="s">
        <v>1662</v>
      </c>
      <c r="D46" s="195"/>
      <c r="E46" s="181"/>
      <c r="F46" s="181"/>
      <c r="G46" s="171">
        <f>SUM(G38:G45)</f>
        <v>31789</v>
      </c>
      <c r="H46" s="693"/>
      <c r="I46" s="171"/>
      <c r="J46" s="693"/>
      <c r="K46" s="171"/>
      <c r="L46" s="171"/>
      <c r="M46" s="693"/>
      <c r="N46" s="171"/>
      <c r="O46" s="693"/>
      <c r="P46" s="171"/>
      <c r="Q46" s="171"/>
      <c r="R46" s="171">
        <f>SUM(R38:R45)</f>
        <v>31789</v>
      </c>
      <c r="S46" s="171">
        <f>SUM(S38:S45)</f>
        <v>3.5</v>
      </c>
      <c r="T46" s="171">
        <f>SUM(T38:T45)</f>
        <v>1</v>
      </c>
      <c r="U46" s="171"/>
      <c r="V46" s="693"/>
      <c r="W46" s="171"/>
      <c r="X46" s="693"/>
      <c r="Y46" s="693"/>
      <c r="Z46" s="171"/>
      <c r="AA46" s="171">
        <f>SUM(AA38:AA45)</f>
        <v>11591</v>
      </c>
      <c r="AB46" s="171">
        <f>SUM(AB38:AB45)</f>
        <v>36000</v>
      </c>
      <c r="AC46" s="171">
        <f>SUM(AC38:AC45)</f>
        <v>0</v>
      </c>
      <c r="AD46" s="171">
        <f>SUM(AD38:AD45)</f>
        <v>36000</v>
      </c>
      <c r="AE46" s="171">
        <f>SUM(AE38:AE45)</f>
        <v>36000</v>
      </c>
      <c r="AF46" s="171">
        <f t="shared" ref="AF46:AN46" si="49">SUM(AF38:AF45)</f>
        <v>0</v>
      </c>
      <c r="AG46" s="171">
        <f>SUM(AG38:AG45)</f>
        <v>36000</v>
      </c>
      <c r="AH46" s="171">
        <f t="shared" si="49"/>
        <v>11591</v>
      </c>
      <c r="AI46" s="171">
        <f t="shared" si="49"/>
        <v>24409</v>
      </c>
      <c r="AJ46" s="171">
        <f t="shared" si="49"/>
        <v>13674</v>
      </c>
      <c r="AK46" s="171">
        <f t="shared" si="49"/>
        <v>24409</v>
      </c>
      <c r="AL46" s="171">
        <f t="shared" si="49"/>
        <v>4920</v>
      </c>
      <c r="AM46" s="171">
        <f t="shared" si="49"/>
        <v>0</v>
      </c>
      <c r="AN46" s="171">
        <f t="shared" si="49"/>
        <v>-8754</v>
      </c>
      <c r="AO46" s="171">
        <f t="shared" ref="AO46:AT46" si="50">SUM(AO38:AO44)</f>
        <v>0</v>
      </c>
      <c r="AP46" s="171">
        <f t="shared" si="50"/>
        <v>0</v>
      </c>
      <c r="AQ46" s="171">
        <f t="shared" si="50"/>
        <v>10051</v>
      </c>
      <c r="AR46" s="171">
        <f t="shared" si="50"/>
        <v>0</v>
      </c>
      <c r="AS46" s="171">
        <f t="shared" si="50"/>
        <v>0</v>
      </c>
      <c r="AT46" s="171">
        <f t="shared" si="50"/>
        <v>21949</v>
      </c>
      <c r="AU46" s="171">
        <f>SUM(AU38:AU45)</f>
        <v>4920</v>
      </c>
      <c r="AV46" s="171">
        <f>SUM(AV38:AV44)</f>
        <v>0</v>
      </c>
      <c r="AW46" s="171">
        <f>SUM(AW38:AW45)</f>
        <v>24409</v>
      </c>
      <c r="AX46" s="171">
        <f>SUM(AX38:AX45)</f>
        <v>24750</v>
      </c>
      <c r="AY46" s="619"/>
      <c r="AZ46" s="619"/>
      <c r="BA46" s="619"/>
    </row>
    <row r="47" spans="2:53" s="69" customFormat="1" ht="33">
      <c r="B47" s="660"/>
      <c r="C47" s="181" t="s">
        <v>1780</v>
      </c>
      <c r="D47" s="195"/>
      <c r="E47" s="181"/>
      <c r="F47" s="181"/>
      <c r="G47" s="171"/>
      <c r="H47" s="693"/>
      <c r="I47" s="171"/>
      <c r="J47" s="693"/>
      <c r="K47" s="171"/>
      <c r="L47" s="171"/>
      <c r="M47" s="693"/>
      <c r="N47" s="171"/>
      <c r="O47" s="693"/>
      <c r="P47" s="171"/>
      <c r="Q47" s="171"/>
      <c r="R47" s="171"/>
      <c r="S47" s="171"/>
      <c r="T47" s="171"/>
      <c r="U47" s="171"/>
      <c r="V47" s="693"/>
      <c r="W47" s="171"/>
      <c r="X47" s="693"/>
      <c r="Y47" s="693"/>
      <c r="Z47" s="171"/>
      <c r="AA47" s="171"/>
      <c r="AB47" s="171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7"/>
      <c r="AU47" s="197"/>
      <c r="AV47" s="196"/>
      <c r="AW47" s="209"/>
      <c r="AX47" s="236"/>
      <c r="AY47" s="619"/>
      <c r="AZ47" s="619"/>
      <c r="BA47" s="619"/>
    </row>
    <row r="48" spans="2:53" s="69" customFormat="1" ht="33">
      <c r="B48" s="660">
        <f>B45+1</f>
        <v>24</v>
      </c>
      <c r="C48" s="185" t="s">
        <v>1174</v>
      </c>
      <c r="D48" s="186"/>
      <c r="E48" s="660" t="s">
        <v>1175</v>
      </c>
      <c r="F48" s="660">
        <v>7</v>
      </c>
      <c r="G48" s="187">
        <v>4920</v>
      </c>
      <c r="H48" s="687"/>
      <c r="I48" s="187"/>
      <c r="J48" s="687"/>
      <c r="K48" s="187"/>
      <c r="L48" s="187"/>
      <c r="M48" s="687"/>
      <c r="N48" s="187"/>
      <c r="O48" s="687"/>
      <c r="P48" s="187"/>
      <c r="Q48" s="187"/>
      <c r="R48" s="187">
        <f>G48+I48+K48+L48+N48+P48+Q48</f>
        <v>4920</v>
      </c>
      <c r="S48" s="187">
        <v>1</v>
      </c>
      <c r="T48" s="194"/>
      <c r="U48" s="194"/>
      <c r="V48" s="692"/>
      <c r="W48" s="194"/>
      <c r="X48" s="674"/>
      <c r="Y48" s="688"/>
      <c r="Z48" s="187"/>
      <c r="AA48" s="187">
        <f>AH48</f>
        <v>3080</v>
      </c>
      <c r="AB48" s="187">
        <f>(R48+AA48)*S48</f>
        <v>8000</v>
      </c>
      <c r="AC48" s="689">
        <f>AF48</f>
        <v>0</v>
      </c>
      <c r="AD48" s="689">
        <f>AB48+AC48</f>
        <v>8000</v>
      </c>
      <c r="AE48" s="190">
        <f>AB48</f>
        <v>8000</v>
      </c>
      <c r="AF48" s="190">
        <f>AE48-AB48</f>
        <v>0</v>
      </c>
      <c r="AG48" s="689">
        <f>8000*S48</f>
        <v>8000</v>
      </c>
      <c r="AH48" s="190">
        <f>AG48-(R48*S48)</f>
        <v>3080</v>
      </c>
      <c r="AI48" s="191">
        <f>G48*S48</f>
        <v>4920</v>
      </c>
      <c r="AJ48" s="191">
        <f>G48*T48</f>
        <v>0</v>
      </c>
      <c r="AK48" s="191">
        <f>R48*S48</f>
        <v>4920</v>
      </c>
      <c r="AL48" s="191">
        <f>R48*T48</f>
        <v>0</v>
      </c>
      <c r="AM48" s="191">
        <f>AK48-AI48</f>
        <v>0</v>
      </c>
      <c r="AN48" s="191">
        <f>AL48-AJ48</f>
        <v>0</v>
      </c>
      <c r="AO48" s="193">
        <f>Z48*S48</f>
        <v>0</v>
      </c>
      <c r="AP48" s="193">
        <f>Z48*T48</f>
        <v>0</v>
      </c>
      <c r="AQ48" s="193">
        <f>AA48</f>
        <v>3080</v>
      </c>
      <c r="AR48" s="193">
        <f>W48*S48</f>
        <v>0</v>
      </c>
      <c r="AS48" s="193">
        <f>W48*T48</f>
        <v>0</v>
      </c>
      <c r="AT48" s="197">
        <f t="shared" si="13"/>
        <v>4920</v>
      </c>
      <c r="AU48" s="197">
        <f t="shared" si="13"/>
        <v>0</v>
      </c>
      <c r="AV48" s="191"/>
      <c r="AW48" s="236">
        <f t="shared" ref="AW48:AW55" si="51">R48*S48</f>
        <v>4920</v>
      </c>
      <c r="AX48" s="236">
        <f>13500*S48-AB48</f>
        <v>5500</v>
      </c>
      <c r="AY48" s="619"/>
      <c r="AZ48" s="619"/>
      <c r="BA48" s="619"/>
    </row>
    <row r="49" spans="2:53" s="69" customFormat="1" ht="33">
      <c r="B49" s="660"/>
      <c r="C49" s="201" t="s">
        <v>1768</v>
      </c>
      <c r="D49" s="186"/>
      <c r="E49" s="660"/>
      <c r="F49" s="660"/>
      <c r="G49" s="187"/>
      <c r="H49" s="687"/>
      <c r="I49" s="187"/>
      <c r="J49" s="687"/>
      <c r="K49" s="187"/>
      <c r="L49" s="187"/>
      <c r="M49" s="687"/>
      <c r="N49" s="187"/>
      <c r="O49" s="687"/>
      <c r="P49" s="187"/>
      <c r="Q49" s="187"/>
      <c r="R49" s="187"/>
      <c r="S49" s="187"/>
      <c r="T49" s="194"/>
      <c r="U49" s="194"/>
      <c r="V49" s="692"/>
      <c r="W49" s="194"/>
      <c r="X49" s="674"/>
      <c r="Y49" s="688"/>
      <c r="Z49" s="187"/>
      <c r="AA49" s="187"/>
      <c r="AB49" s="187"/>
      <c r="AC49" s="689"/>
      <c r="AD49" s="689"/>
      <c r="AE49" s="190"/>
      <c r="AF49" s="190"/>
      <c r="AG49" s="689"/>
      <c r="AH49" s="190"/>
      <c r="AI49" s="191"/>
      <c r="AJ49" s="191"/>
      <c r="AK49" s="191"/>
      <c r="AL49" s="191">
        <f t="shared" ref="AL49:AL93" si="52">R49*T49</f>
        <v>0</v>
      </c>
      <c r="AM49" s="191"/>
      <c r="AN49" s="191"/>
      <c r="AO49" s="193"/>
      <c r="AP49" s="193"/>
      <c r="AQ49" s="193"/>
      <c r="AR49" s="193"/>
      <c r="AS49" s="193"/>
      <c r="AT49" s="197"/>
      <c r="AU49" s="197"/>
      <c r="AV49" s="191"/>
      <c r="AW49" s="236"/>
      <c r="AX49" s="236"/>
      <c r="AY49" s="619"/>
      <c r="AZ49" s="619"/>
      <c r="BA49" s="619"/>
    </row>
    <row r="50" spans="2:53" s="69" customFormat="1" ht="33">
      <c r="B50" s="660">
        <f>B48+1</f>
        <v>25</v>
      </c>
      <c r="C50" s="185" t="s">
        <v>1176</v>
      </c>
      <c r="D50" s="186"/>
      <c r="E50" s="660" t="s">
        <v>1304</v>
      </c>
      <c r="F50" s="660">
        <v>6</v>
      </c>
      <c r="G50" s="187">
        <v>4633</v>
      </c>
      <c r="H50" s="687"/>
      <c r="I50" s="187"/>
      <c r="J50" s="687"/>
      <c r="K50" s="187"/>
      <c r="L50" s="187"/>
      <c r="M50" s="687"/>
      <c r="N50" s="187"/>
      <c r="O50" s="687"/>
      <c r="P50" s="187"/>
      <c r="Q50" s="187"/>
      <c r="R50" s="187">
        <f>G50+I50+K50+L50+N50+P50+Q50</f>
        <v>4633</v>
      </c>
      <c r="S50" s="187">
        <v>1</v>
      </c>
      <c r="T50" s="194"/>
      <c r="U50" s="194"/>
      <c r="V50" s="692"/>
      <c r="W50" s="194"/>
      <c r="X50" s="674"/>
      <c r="Y50" s="688"/>
      <c r="Z50" s="187"/>
      <c r="AA50" s="187">
        <f>AH50</f>
        <v>3367</v>
      </c>
      <c r="AB50" s="187">
        <f>(R50+AA50)*S50</f>
        <v>8000</v>
      </c>
      <c r="AC50" s="689">
        <f>AF50</f>
        <v>0</v>
      </c>
      <c r="AD50" s="689">
        <f>AB50+AC50</f>
        <v>8000</v>
      </c>
      <c r="AE50" s="190">
        <f>AB50</f>
        <v>8000</v>
      </c>
      <c r="AF50" s="190">
        <f>AE50-AB50</f>
        <v>0</v>
      </c>
      <c r="AG50" s="689">
        <f>8000*S50</f>
        <v>8000</v>
      </c>
      <c r="AH50" s="190">
        <f>AG50-(R50*S50)</f>
        <v>3367</v>
      </c>
      <c r="AI50" s="191">
        <f>G50*S50</f>
        <v>4633</v>
      </c>
      <c r="AJ50" s="191">
        <f>G50*T50</f>
        <v>0</v>
      </c>
      <c r="AK50" s="191">
        <f>R50*S50</f>
        <v>4633</v>
      </c>
      <c r="AL50" s="191">
        <f t="shared" si="52"/>
        <v>0</v>
      </c>
      <c r="AM50" s="191">
        <f>AK50-AI50</f>
        <v>0</v>
      </c>
      <c r="AN50" s="191">
        <f>AL50-AJ50</f>
        <v>0</v>
      </c>
      <c r="AO50" s="193">
        <f>Z50*S50</f>
        <v>0</v>
      </c>
      <c r="AP50" s="193">
        <f>Z50*T50</f>
        <v>0</v>
      </c>
      <c r="AQ50" s="193">
        <f>AA50</f>
        <v>3367</v>
      </c>
      <c r="AR50" s="193">
        <f>W50*S50</f>
        <v>0</v>
      </c>
      <c r="AS50" s="193">
        <f>W50*T50</f>
        <v>0</v>
      </c>
      <c r="AT50" s="197">
        <f t="shared" si="13"/>
        <v>4633</v>
      </c>
      <c r="AU50" s="197">
        <f t="shared" si="13"/>
        <v>0</v>
      </c>
      <c r="AV50" s="191"/>
      <c r="AW50" s="236">
        <f t="shared" si="51"/>
        <v>4633</v>
      </c>
      <c r="AX50" s="236">
        <f>13500*S50-AB50</f>
        <v>5500</v>
      </c>
      <c r="AY50" s="619"/>
      <c r="AZ50" s="619"/>
      <c r="BA50" s="619"/>
    </row>
    <row r="51" spans="2:53" s="69" customFormat="1" ht="33">
      <c r="B51" s="660">
        <f>1+B50</f>
        <v>26</v>
      </c>
      <c r="C51" s="185" t="s">
        <v>1176</v>
      </c>
      <c r="D51" s="186"/>
      <c r="E51" s="660" t="s">
        <v>1177</v>
      </c>
      <c r="F51" s="660">
        <v>6</v>
      </c>
      <c r="G51" s="187">
        <v>4633</v>
      </c>
      <c r="H51" s="687"/>
      <c r="I51" s="187"/>
      <c r="J51" s="687"/>
      <c r="K51" s="187"/>
      <c r="L51" s="187"/>
      <c r="M51" s="687"/>
      <c r="N51" s="187"/>
      <c r="O51" s="687"/>
      <c r="P51" s="187"/>
      <c r="Q51" s="187"/>
      <c r="R51" s="187">
        <f>G51+I51+K51+L51+N51+P51+Q51</f>
        <v>4633</v>
      </c>
      <c r="S51" s="187">
        <v>1</v>
      </c>
      <c r="T51" s="194"/>
      <c r="U51" s="194"/>
      <c r="V51" s="692"/>
      <c r="W51" s="194"/>
      <c r="X51" s="674"/>
      <c r="Y51" s="688"/>
      <c r="Z51" s="187"/>
      <c r="AA51" s="187">
        <f>AH51</f>
        <v>3367</v>
      </c>
      <c r="AB51" s="187">
        <f>(R51+AA51)*S51</f>
        <v>8000</v>
      </c>
      <c r="AC51" s="689">
        <f>AF51</f>
        <v>0</v>
      </c>
      <c r="AD51" s="689">
        <f>AB51+AC51</f>
        <v>8000</v>
      </c>
      <c r="AE51" s="190">
        <f>AB51</f>
        <v>8000</v>
      </c>
      <c r="AF51" s="190">
        <f>AE51-AB51</f>
        <v>0</v>
      </c>
      <c r="AG51" s="689">
        <f>8000*S51</f>
        <v>8000</v>
      </c>
      <c r="AH51" s="190">
        <f>AG51-(R51*S51)</f>
        <v>3367</v>
      </c>
      <c r="AI51" s="191">
        <f>G51*S51</f>
        <v>4633</v>
      </c>
      <c r="AJ51" s="191">
        <f>G51*T51</f>
        <v>0</v>
      </c>
      <c r="AK51" s="191">
        <f>R51*S51</f>
        <v>4633</v>
      </c>
      <c r="AL51" s="191">
        <f t="shared" si="52"/>
        <v>0</v>
      </c>
      <c r="AM51" s="191">
        <f>AK51-AI51</f>
        <v>0</v>
      </c>
      <c r="AN51" s="191">
        <f>AL51-AJ51</f>
        <v>0</v>
      </c>
      <c r="AO51" s="193">
        <f>Z51*S51</f>
        <v>0</v>
      </c>
      <c r="AP51" s="193">
        <f>Z51*T51</f>
        <v>0</v>
      </c>
      <c r="AQ51" s="193">
        <f>AA51</f>
        <v>3367</v>
      </c>
      <c r="AR51" s="193">
        <f>W51*S51</f>
        <v>0</v>
      </c>
      <c r="AS51" s="193">
        <f>W51*T51</f>
        <v>0</v>
      </c>
      <c r="AT51" s="197">
        <f t="shared" si="13"/>
        <v>4633</v>
      </c>
      <c r="AU51" s="197">
        <f t="shared" si="13"/>
        <v>0</v>
      </c>
      <c r="AV51" s="191"/>
      <c r="AW51" s="236">
        <f t="shared" si="51"/>
        <v>4633</v>
      </c>
      <c r="AX51" s="236">
        <f>13500*S51-AB51</f>
        <v>5500</v>
      </c>
      <c r="AY51" s="619"/>
      <c r="AZ51" s="619"/>
      <c r="BA51" s="619"/>
    </row>
    <row r="52" spans="2:53" s="69" customFormat="1" ht="33">
      <c r="B52" s="660"/>
      <c r="C52" s="201" t="s">
        <v>1769</v>
      </c>
      <c r="D52" s="186"/>
      <c r="E52" s="660"/>
      <c r="F52" s="660"/>
      <c r="G52" s="187"/>
      <c r="H52" s="687"/>
      <c r="I52" s="187"/>
      <c r="J52" s="687"/>
      <c r="K52" s="187"/>
      <c r="L52" s="187"/>
      <c r="M52" s="687"/>
      <c r="N52" s="187"/>
      <c r="O52" s="687"/>
      <c r="P52" s="187"/>
      <c r="Q52" s="187"/>
      <c r="R52" s="187"/>
      <c r="S52" s="187"/>
      <c r="T52" s="194"/>
      <c r="U52" s="194"/>
      <c r="V52" s="692"/>
      <c r="W52" s="194"/>
      <c r="X52" s="674"/>
      <c r="Y52" s="688"/>
      <c r="Z52" s="187"/>
      <c r="AA52" s="187"/>
      <c r="AB52" s="187"/>
      <c r="AC52" s="689"/>
      <c r="AD52" s="689"/>
      <c r="AE52" s="190"/>
      <c r="AF52" s="190"/>
      <c r="AG52" s="689"/>
      <c r="AH52" s="190"/>
      <c r="AI52" s="191"/>
      <c r="AJ52" s="191"/>
      <c r="AK52" s="191"/>
      <c r="AL52" s="191">
        <f t="shared" si="52"/>
        <v>0</v>
      </c>
      <c r="AM52" s="191"/>
      <c r="AN52" s="191"/>
      <c r="AO52" s="193"/>
      <c r="AP52" s="193"/>
      <c r="AQ52" s="193"/>
      <c r="AR52" s="193"/>
      <c r="AS52" s="193"/>
      <c r="AT52" s="197"/>
      <c r="AU52" s="197"/>
      <c r="AV52" s="191"/>
      <c r="AW52" s="236"/>
      <c r="AX52" s="236"/>
      <c r="AY52" s="619"/>
      <c r="AZ52" s="619"/>
      <c r="BA52" s="619"/>
    </row>
    <row r="53" spans="2:53" s="69" customFormat="1" ht="33">
      <c r="B53" s="660">
        <f>B51+1</f>
        <v>27</v>
      </c>
      <c r="C53" s="185" t="s">
        <v>1193</v>
      </c>
      <c r="D53" s="186" t="s">
        <v>1194</v>
      </c>
      <c r="E53" s="660" t="s">
        <v>1195</v>
      </c>
      <c r="F53" s="660">
        <v>3</v>
      </c>
      <c r="G53" s="187">
        <v>3770</v>
      </c>
      <c r="H53" s="688">
        <v>0.2</v>
      </c>
      <c r="I53" s="187">
        <f t="shared" ref="I53:I58" si="53">G53*H53</f>
        <v>754</v>
      </c>
      <c r="J53" s="687"/>
      <c r="K53" s="187"/>
      <c r="L53" s="187"/>
      <c r="M53" s="687"/>
      <c r="N53" s="187"/>
      <c r="O53" s="687"/>
      <c r="P53" s="187"/>
      <c r="Q53" s="187"/>
      <c r="R53" s="187">
        <f t="shared" ref="R53:R71" si="54">G53+I53+K53+L53+N53+P53+Q53</f>
        <v>4524</v>
      </c>
      <c r="S53" s="187">
        <v>1</v>
      </c>
      <c r="T53" s="194"/>
      <c r="U53" s="194"/>
      <c r="V53" s="692"/>
      <c r="W53" s="194"/>
      <c r="X53" s="674"/>
      <c r="Y53" s="688"/>
      <c r="Z53" s="187"/>
      <c r="AA53" s="187">
        <f t="shared" ref="AA53:AA58" si="55">AH53</f>
        <v>3476</v>
      </c>
      <c r="AB53" s="187">
        <f>(R53+AA53)*S53</f>
        <v>8000</v>
      </c>
      <c r="AC53" s="689">
        <f t="shared" ref="AC53:AC71" si="56">AF53</f>
        <v>0</v>
      </c>
      <c r="AD53" s="689">
        <f t="shared" ref="AD53:AD79" si="57">AB53+AC53</f>
        <v>8000</v>
      </c>
      <c r="AE53" s="190">
        <f t="shared" ref="AE53:AE79" si="58">AB53</f>
        <v>8000</v>
      </c>
      <c r="AF53" s="190">
        <f t="shared" ref="AF53:AF70" si="59">AE53-AB53</f>
        <v>0</v>
      </c>
      <c r="AG53" s="689">
        <f>8000*S53</f>
        <v>8000</v>
      </c>
      <c r="AH53" s="190">
        <f>AG53-(R53*S53)</f>
        <v>3476</v>
      </c>
      <c r="AI53" s="191">
        <f t="shared" ref="AI53:AI69" si="60">G53*S53</f>
        <v>3770</v>
      </c>
      <c r="AJ53" s="191">
        <f t="shared" ref="AJ53:AJ70" si="61">G53*T53</f>
        <v>0</v>
      </c>
      <c r="AK53" s="191">
        <f t="shared" ref="AK53:AK70" si="62">R53*S53</f>
        <v>4524</v>
      </c>
      <c r="AL53" s="191">
        <f t="shared" si="52"/>
        <v>0</v>
      </c>
      <c r="AM53" s="191">
        <f t="shared" ref="AM53:AN71" si="63">AK53-AI53</f>
        <v>754</v>
      </c>
      <c r="AN53" s="191">
        <f t="shared" si="63"/>
        <v>0</v>
      </c>
      <c r="AO53" s="193">
        <f t="shared" ref="AO53:AO71" si="64">Z53*S53</f>
        <v>0</v>
      </c>
      <c r="AP53" s="193">
        <f t="shared" ref="AP53:AP71" si="65">Z53*T53</f>
        <v>0</v>
      </c>
      <c r="AQ53" s="193">
        <f t="shared" ref="AQ53:AQ71" si="66">AA53</f>
        <v>3476</v>
      </c>
      <c r="AR53" s="193">
        <f t="shared" ref="AR53:AR71" si="67">W53*S53</f>
        <v>0</v>
      </c>
      <c r="AS53" s="193">
        <f t="shared" ref="AS53:AS71" si="68">W53*T53</f>
        <v>0</v>
      </c>
      <c r="AT53" s="197">
        <f>AK53</f>
        <v>4524</v>
      </c>
      <c r="AU53" s="197">
        <f t="shared" si="13"/>
        <v>0</v>
      </c>
      <c r="AV53" s="191"/>
      <c r="AW53" s="236">
        <f t="shared" si="51"/>
        <v>4524</v>
      </c>
      <c r="AX53" s="236"/>
      <c r="AY53" s="619"/>
      <c r="AZ53" s="619"/>
      <c r="BA53" s="619"/>
    </row>
    <row r="54" spans="2:53" s="69" customFormat="1" ht="33">
      <c r="B54" s="660">
        <f>1+B53</f>
        <v>28</v>
      </c>
      <c r="C54" s="185" t="s">
        <v>1193</v>
      </c>
      <c r="D54" s="186" t="s">
        <v>1194</v>
      </c>
      <c r="E54" s="660" t="s">
        <v>1195</v>
      </c>
      <c r="F54" s="660">
        <v>3</v>
      </c>
      <c r="G54" s="187">
        <v>3770</v>
      </c>
      <c r="H54" s="688">
        <v>0.2</v>
      </c>
      <c r="I54" s="187">
        <f t="shared" si="53"/>
        <v>754</v>
      </c>
      <c r="J54" s="687"/>
      <c r="K54" s="187"/>
      <c r="L54" s="187"/>
      <c r="M54" s="687"/>
      <c r="N54" s="187"/>
      <c r="O54" s="687"/>
      <c r="P54" s="187"/>
      <c r="Q54" s="187"/>
      <c r="R54" s="187">
        <f t="shared" si="54"/>
        <v>4524</v>
      </c>
      <c r="S54" s="187"/>
      <c r="T54" s="187">
        <v>0.5</v>
      </c>
      <c r="U54" s="194"/>
      <c r="V54" s="692"/>
      <c r="W54" s="194"/>
      <c r="X54" s="674"/>
      <c r="Y54" s="688"/>
      <c r="Z54" s="187"/>
      <c r="AA54" s="187">
        <f t="shared" si="55"/>
        <v>1738</v>
      </c>
      <c r="AB54" s="187">
        <f>(R54+Z54+U54+W54)*T54+AA54</f>
        <v>4000</v>
      </c>
      <c r="AC54" s="689">
        <f t="shared" si="56"/>
        <v>0</v>
      </c>
      <c r="AD54" s="689">
        <f t="shared" si="57"/>
        <v>4000</v>
      </c>
      <c r="AE54" s="190">
        <f t="shared" si="58"/>
        <v>4000</v>
      </c>
      <c r="AF54" s="190">
        <f t="shared" si="59"/>
        <v>0</v>
      </c>
      <c r="AG54" s="689">
        <f>8000*T54</f>
        <v>4000</v>
      </c>
      <c r="AH54" s="190">
        <f>AG54-(R54*T54)</f>
        <v>1738</v>
      </c>
      <c r="AI54" s="191">
        <f t="shared" si="60"/>
        <v>0</v>
      </c>
      <c r="AJ54" s="191">
        <f>G54*T54</f>
        <v>1885</v>
      </c>
      <c r="AK54" s="191">
        <f>R54*T54</f>
        <v>2262</v>
      </c>
      <c r="AL54" s="191">
        <f t="shared" si="52"/>
        <v>2262</v>
      </c>
      <c r="AM54" s="191">
        <f t="shared" si="63"/>
        <v>2262</v>
      </c>
      <c r="AN54" s="191">
        <f t="shared" si="63"/>
        <v>377</v>
      </c>
      <c r="AO54" s="193">
        <f t="shared" si="64"/>
        <v>0</v>
      </c>
      <c r="AP54" s="193">
        <f t="shared" si="65"/>
        <v>0</v>
      </c>
      <c r="AQ54" s="193">
        <f t="shared" si="66"/>
        <v>1738</v>
      </c>
      <c r="AR54" s="193">
        <f t="shared" si="67"/>
        <v>0</v>
      </c>
      <c r="AS54" s="193">
        <f t="shared" si="68"/>
        <v>0</v>
      </c>
      <c r="AT54" s="197">
        <f>AK54</f>
        <v>2262</v>
      </c>
      <c r="AU54" s="197">
        <f t="shared" si="13"/>
        <v>2262</v>
      </c>
      <c r="AV54" s="191"/>
      <c r="AW54" s="236">
        <f>R54*T54</f>
        <v>2262</v>
      </c>
      <c r="AX54" s="236"/>
      <c r="AY54" s="619"/>
      <c r="AZ54" s="619"/>
      <c r="BA54" s="619"/>
    </row>
    <row r="55" spans="2:53" s="69" customFormat="1" ht="33">
      <c r="B55" s="660">
        <f>1+B54</f>
        <v>29</v>
      </c>
      <c r="C55" s="185" t="s">
        <v>1193</v>
      </c>
      <c r="D55" s="186" t="s">
        <v>1194</v>
      </c>
      <c r="E55" s="660" t="s">
        <v>1196</v>
      </c>
      <c r="F55" s="660">
        <v>4</v>
      </c>
      <c r="G55" s="187">
        <v>4058</v>
      </c>
      <c r="H55" s="688">
        <v>0.2</v>
      </c>
      <c r="I55" s="187">
        <f t="shared" si="53"/>
        <v>811.6</v>
      </c>
      <c r="J55" s="687"/>
      <c r="K55" s="187"/>
      <c r="L55" s="187"/>
      <c r="M55" s="687"/>
      <c r="N55" s="187"/>
      <c r="O55" s="687"/>
      <c r="P55" s="187"/>
      <c r="Q55" s="187"/>
      <c r="R55" s="187">
        <f t="shared" si="54"/>
        <v>4869.6000000000004</v>
      </c>
      <c r="S55" s="187">
        <v>1</v>
      </c>
      <c r="T55" s="187"/>
      <c r="U55" s="194"/>
      <c r="V55" s="692"/>
      <c r="W55" s="194"/>
      <c r="X55" s="674"/>
      <c r="Y55" s="688"/>
      <c r="Z55" s="187"/>
      <c r="AA55" s="187">
        <f t="shared" si="55"/>
        <v>3130.3999999999996</v>
      </c>
      <c r="AB55" s="187">
        <f>(R55+AA55)*S55</f>
        <v>8000</v>
      </c>
      <c r="AC55" s="689">
        <f t="shared" si="56"/>
        <v>0</v>
      </c>
      <c r="AD55" s="689">
        <f t="shared" si="57"/>
        <v>8000</v>
      </c>
      <c r="AE55" s="190">
        <f t="shared" si="58"/>
        <v>8000</v>
      </c>
      <c r="AF55" s="190">
        <f t="shared" si="59"/>
        <v>0</v>
      </c>
      <c r="AG55" s="689">
        <f>8000*S55</f>
        <v>8000</v>
      </c>
      <c r="AH55" s="190">
        <f>AG55-(R55*S55)</f>
        <v>3130.3999999999996</v>
      </c>
      <c r="AI55" s="191">
        <f t="shared" si="60"/>
        <v>4058</v>
      </c>
      <c r="AJ55" s="191">
        <f t="shared" si="61"/>
        <v>0</v>
      </c>
      <c r="AK55" s="191">
        <f t="shared" si="62"/>
        <v>4869.6000000000004</v>
      </c>
      <c r="AL55" s="191">
        <f t="shared" si="52"/>
        <v>0</v>
      </c>
      <c r="AM55" s="191">
        <f t="shared" si="63"/>
        <v>811.60000000000036</v>
      </c>
      <c r="AN55" s="191">
        <f t="shared" si="63"/>
        <v>0</v>
      </c>
      <c r="AO55" s="193">
        <f t="shared" si="64"/>
        <v>0</v>
      </c>
      <c r="AP55" s="193">
        <f t="shared" si="65"/>
        <v>0</v>
      </c>
      <c r="AQ55" s="193">
        <f t="shared" si="66"/>
        <v>3130.3999999999996</v>
      </c>
      <c r="AR55" s="193">
        <f t="shared" si="67"/>
        <v>0</v>
      </c>
      <c r="AS55" s="193">
        <f t="shared" si="68"/>
        <v>0</v>
      </c>
      <c r="AT55" s="197">
        <f t="shared" si="13"/>
        <v>4869.6000000000004</v>
      </c>
      <c r="AU55" s="197">
        <f t="shared" si="13"/>
        <v>0</v>
      </c>
      <c r="AV55" s="191"/>
      <c r="AW55" s="236">
        <f t="shared" si="51"/>
        <v>4869.6000000000004</v>
      </c>
      <c r="AX55" s="236"/>
      <c r="AY55" s="619"/>
      <c r="AZ55" s="619"/>
      <c r="BA55" s="619"/>
    </row>
    <row r="56" spans="2:53" s="69" customFormat="1" ht="33">
      <c r="B56" s="660">
        <f>1+B55</f>
        <v>30</v>
      </c>
      <c r="C56" s="185" t="s">
        <v>1193</v>
      </c>
      <c r="D56" s="186" t="s">
        <v>1194</v>
      </c>
      <c r="E56" s="660" t="s">
        <v>1196</v>
      </c>
      <c r="F56" s="660">
        <v>4</v>
      </c>
      <c r="G56" s="187">
        <v>4058</v>
      </c>
      <c r="H56" s="688">
        <v>0.2</v>
      </c>
      <c r="I56" s="187">
        <f t="shared" si="53"/>
        <v>811.6</v>
      </c>
      <c r="J56" s="687"/>
      <c r="K56" s="187"/>
      <c r="L56" s="187"/>
      <c r="M56" s="687"/>
      <c r="N56" s="187"/>
      <c r="O56" s="687"/>
      <c r="P56" s="187"/>
      <c r="Q56" s="187"/>
      <c r="R56" s="187">
        <f t="shared" si="54"/>
        <v>4869.6000000000004</v>
      </c>
      <c r="S56" s="187"/>
      <c r="T56" s="187">
        <v>0.5</v>
      </c>
      <c r="U56" s="194"/>
      <c r="V56" s="692"/>
      <c r="W56" s="194"/>
      <c r="X56" s="674"/>
      <c r="Y56" s="688"/>
      <c r="Z56" s="187"/>
      <c r="AA56" s="187">
        <f t="shared" si="55"/>
        <v>1565.1999999999998</v>
      </c>
      <c r="AB56" s="187">
        <f>(R56+Z56+U56+W56)*T56+AA56</f>
        <v>4000</v>
      </c>
      <c r="AC56" s="689">
        <f t="shared" si="56"/>
        <v>0</v>
      </c>
      <c r="AD56" s="689">
        <f t="shared" si="57"/>
        <v>4000</v>
      </c>
      <c r="AE56" s="190">
        <f t="shared" si="58"/>
        <v>4000</v>
      </c>
      <c r="AF56" s="190">
        <f t="shared" si="59"/>
        <v>0</v>
      </c>
      <c r="AG56" s="689">
        <f>8000*T56</f>
        <v>4000</v>
      </c>
      <c r="AH56" s="190">
        <f>AG56-(R56*T56)</f>
        <v>1565.1999999999998</v>
      </c>
      <c r="AI56" s="191">
        <f t="shared" si="60"/>
        <v>0</v>
      </c>
      <c r="AJ56" s="191">
        <f>G56*T56</f>
        <v>2029</v>
      </c>
      <c r="AK56" s="191">
        <f t="shared" si="62"/>
        <v>0</v>
      </c>
      <c r="AL56" s="191">
        <f t="shared" si="52"/>
        <v>2434.8000000000002</v>
      </c>
      <c r="AM56" s="191">
        <f t="shared" si="63"/>
        <v>0</v>
      </c>
      <c r="AN56" s="191">
        <f t="shared" si="63"/>
        <v>405.80000000000018</v>
      </c>
      <c r="AO56" s="193">
        <f t="shared" si="64"/>
        <v>0</v>
      </c>
      <c r="AP56" s="193">
        <f t="shared" si="65"/>
        <v>0</v>
      </c>
      <c r="AQ56" s="193">
        <f t="shared" si="66"/>
        <v>1565.1999999999998</v>
      </c>
      <c r="AR56" s="193">
        <f t="shared" si="67"/>
        <v>0</v>
      </c>
      <c r="AS56" s="193">
        <f t="shared" si="68"/>
        <v>0</v>
      </c>
      <c r="AT56" s="197">
        <f t="shared" si="13"/>
        <v>0</v>
      </c>
      <c r="AU56" s="197">
        <f t="shared" si="13"/>
        <v>2434.8000000000002</v>
      </c>
      <c r="AV56" s="191"/>
      <c r="AW56" s="236">
        <f>R56*T56</f>
        <v>2434.8000000000002</v>
      </c>
      <c r="AX56" s="236"/>
      <c r="AY56" s="619"/>
      <c r="AZ56" s="619"/>
      <c r="BA56" s="619"/>
    </row>
    <row r="57" spans="2:53" s="69" customFormat="1" ht="33">
      <c r="B57" s="660">
        <f>1+B56</f>
        <v>31</v>
      </c>
      <c r="C57" s="185" t="s">
        <v>1193</v>
      </c>
      <c r="D57" s="186" t="s">
        <v>1197</v>
      </c>
      <c r="E57" s="660" t="s">
        <v>1198</v>
      </c>
      <c r="F57" s="660">
        <v>3</v>
      </c>
      <c r="G57" s="187">
        <v>3770</v>
      </c>
      <c r="H57" s="688">
        <v>0.2</v>
      </c>
      <c r="I57" s="187">
        <f t="shared" si="53"/>
        <v>754</v>
      </c>
      <c r="J57" s="687"/>
      <c r="K57" s="187"/>
      <c r="L57" s="187"/>
      <c r="M57" s="687"/>
      <c r="N57" s="187"/>
      <c r="O57" s="687"/>
      <c r="P57" s="187"/>
      <c r="Q57" s="187"/>
      <c r="R57" s="187">
        <f t="shared" si="54"/>
        <v>4524</v>
      </c>
      <c r="S57" s="187">
        <v>1</v>
      </c>
      <c r="T57" s="194"/>
      <c r="U57" s="194"/>
      <c r="V57" s="688"/>
      <c r="W57" s="192"/>
      <c r="X57" s="674"/>
      <c r="Y57" s="688"/>
      <c r="Z57" s="187"/>
      <c r="AA57" s="187">
        <f t="shared" si="55"/>
        <v>3476</v>
      </c>
      <c r="AB57" s="187">
        <f>(R57+AA57)*S57</f>
        <v>8000</v>
      </c>
      <c r="AC57" s="689">
        <f t="shared" si="56"/>
        <v>0</v>
      </c>
      <c r="AD57" s="689">
        <f t="shared" si="57"/>
        <v>8000</v>
      </c>
      <c r="AE57" s="190">
        <f t="shared" si="58"/>
        <v>8000</v>
      </c>
      <c r="AF57" s="190">
        <f t="shared" si="59"/>
        <v>0</v>
      </c>
      <c r="AG57" s="689">
        <f>8000*S57</f>
        <v>8000</v>
      </c>
      <c r="AH57" s="190">
        <f>AG57-(R57*S57)</f>
        <v>3476</v>
      </c>
      <c r="AI57" s="191">
        <f t="shared" si="60"/>
        <v>3770</v>
      </c>
      <c r="AJ57" s="191">
        <f>G57*T57</f>
        <v>0</v>
      </c>
      <c r="AK57" s="191">
        <f t="shared" si="62"/>
        <v>4524</v>
      </c>
      <c r="AL57" s="191">
        <f t="shared" si="52"/>
        <v>0</v>
      </c>
      <c r="AM57" s="191">
        <f t="shared" si="63"/>
        <v>754</v>
      </c>
      <c r="AN57" s="191">
        <f t="shared" si="63"/>
        <v>0</v>
      </c>
      <c r="AO57" s="193">
        <f t="shared" si="64"/>
        <v>0</v>
      </c>
      <c r="AP57" s="193">
        <f t="shared" si="65"/>
        <v>0</v>
      </c>
      <c r="AQ57" s="193">
        <f t="shared" si="66"/>
        <v>3476</v>
      </c>
      <c r="AR57" s="193">
        <f t="shared" si="67"/>
        <v>0</v>
      </c>
      <c r="AS57" s="193">
        <f t="shared" si="68"/>
        <v>0</v>
      </c>
      <c r="AT57" s="197">
        <f t="shared" si="13"/>
        <v>4524</v>
      </c>
      <c r="AU57" s="197">
        <f t="shared" si="13"/>
        <v>0</v>
      </c>
      <c r="AV57" s="191"/>
      <c r="AW57" s="236">
        <f>R57*S57</f>
        <v>4524</v>
      </c>
      <c r="AX57" s="236"/>
      <c r="AY57" s="619"/>
      <c r="AZ57" s="619"/>
      <c r="BA57" s="619"/>
    </row>
    <row r="58" spans="2:53" s="69" customFormat="1" ht="33">
      <c r="B58" s="660">
        <f>1+B57</f>
        <v>32</v>
      </c>
      <c r="C58" s="185" t="s">
        <v>1193</v>
      </c>
      <c r="D58" s="186" t="s">
        <v>1197</v>
      </c>
      <c r="E58" s="660" t="s">
        <v>1198</v>
      </c>
      <c r="F58" s="660">
        <v>3</v>
      </c>
      <c r="G58" s="187">
        <v>3770</v>
      </c>
      <c r="H58" s="688">
        <v>0.2</v>
      </c>
      <c r="I58" s="187">
        <f t="shared" si="53"/>
        <v>754</v>
      </c>
      <c r="J58" s="687"/>
      <c r="K58" s="187"/>
      <c r="L58" s="187"/>
      <c r="M58" s="687"/>
      <c r="N58" s="187"/>
      <c r="O58" s="687"/>
      <c r="P58" s="187"/>
      <c r="Q58" s="187"/>
      <c r="R58" s="187">
        <f t="shared" si="54"/>
        <v>4524</v>
      </c>
      <c r="S58" s="187"/>
      <c r="T58" s="187">
        <v>0.5</v>
      </c>
      <c r="U58" s="194"/>
      <c r="V58" s="688"/>
      <c r="W58" s="192"/>
      <c r="X58" s="674"/>
      <c r="Y58" s="688"/>
      <c r="Z58" s="187"/>
      <c r="AA58" s="187">
        <f t="shared" si="55"/>
        <v>1738</v>
      </c>
      <c r="AB58" s="187">
        <f>(R58+Z58+U58+W58)*T58+AA58</f>
        <v>4000</v>
      </c>
      <c r="AC58" s="689">
        <f t="shared" si="56"/>
        <v>0</v>
      </c>
      <c r="AD58" s="689">
        <f t="shared" si="57"/>
        <v>4000</v>
      </c>
      <c r="AE58" s="190">
        <f t="shared" si="58"/>
        <v>4000</v>
      </c>
      <c r="AF58" s="190">
        <f t="shared" si="59"/>
        <v>0</v>
      </c>
      <c r="AG58" s="689">
        <f>8000*T58</f>
        <v>4000</v>
      </c>
      <c r="AH58" s="190">
        <f>AG58-(R58*T58)</f>
        <v>1738</v>
      </c>
      <c r="AI58" s="191">
        <f t="shared" si="60"/>
        <v>0</v>
      </c>
      <c r="AJ58" s="191">
        <f>G58*T58</f>
        <v>1885</v>
      </c>
      <c r="AK58" s="191">
        <f t="shared" si="62"/>
        <v>0</v>
      </c>
      <c r="AL58" s="191">
        <f t="shared" si="52"/>
        <v>2262</v>
      </c>
      <c r="AM58" s="191">
        <f t="shared" si="63"/>
        <v>0</v>
      </c>
      <c r="AN58" s="191">
        <f t="shared" si="63"/>
        <v>377</v>
      </c>
      <c r="AO58" s="193">
        <f t="shared" si="64"/>
        <v>0</v>
      </c>
      <c r="AP58" s="193">
        <f t="shared" si="65"/>
        <v>0</v>
      </c>
      <c r="AQ58" s="193">
        <f t="shared" si="66"/>
        <v>1738</v>
      </c>
      <c r="AR58" s="193">
        <f t="shared" si="67"/>
        <v>0</v>
      </c>
      <c r="AS58" s="193">
        <f t="shared" si="68"/>
        <v>0</v>
      </c>
      <c r="AT58" s="197">
        <f t="shared" si="13"/>
        <v>0</v>
      </c>
      <c r="AU58" s="197">
        <f t="shared" si="13"/>
        <v>2262</v>
      </c>
      <c r="AV58" s="191"/>
      <c r="AW58" s="236">
        <f>R58*T58</f>
        <v>2262</v>
      </c>
      <c r="AX58" s="236"/>
      <c r="AY58" s="619"/>
      <c r="AZ58" s="619"/>
      <c r="BA58" s="619"/>
    </row>
    <row r="59" spans="2:53" s="69" customFormat="1" ht="33">
      <c r="B59" s="660"/>
      <c r="C59" s="201" t="s">
        <v>1770</v>
      </c>
      <c r="D59" s="186"/>
      <c r="E59" s="660"/>
      <c r="F59" s="660"/>
      <c r="G59" s="187"/>
      <c r="H59" s="688"/>
      <c r="I59" s="660"/>
      <c r="J59" s="687"/>
      <c r="K59" s="187"/>
      <c r="L59" s="187"/>
      <c r="M59" s="687"/>
      <c r="N59" s="187"/>
      <c r="O59" s="687"/>
      <c r="P59" s="187"/>
      <c r="Q59" s="187"/>
      <c r="R59" s="187"/>
      <c r="S59" s="187"/>
      <c r="T59" s="187"/>
      <c r="U59" s="194"/>
      <c r="V59" s="688"/>
      <c r="W59" s="192"/>
      <c r="X59" s="674"/>
      <c r="Y59" s="688"/>
      <c r="Z59" s="187"/>
      <c r="AA59" s="187"/>
      <c r="AB59" s="187"/>
      <c r="AC59" s="689"/>
      <c r="AD59" s="689"/>
      <c r="AE59" s="190"/>
      <c r="AF59" s="190"/>
      <c r="AG59" s="689"/>
      <c r="AH59" s="190"/>
      <c r="AI59" s="191"/>
      <c r="AJ59" s="191"/>
      <c r="AK59" s="191"/>
      <c r="AL59" s="191">
        <f t="shared" si="52"/>
        <v>0</v>
      </c>
      <c r="AM59" s="191"/>
      <c r="AN59" s="191"/>
      <c r="AO59" s="193"/>
      <c r="AP59" s="193"/>
      <c r="AQ59" s="193"/>
      <c r="AR59" s="193"/>
      <c r="AS59" s="193"/>
      <c r="AT59" s="197"/>
      <c r="AU59" s="197"/>
      <c r="AV59" s="191"/>
      <c r="AW59" s="236"/>
      <c r="AX59" s="236"/>
      <c r="AY59" s="619"/>
      <c r="AZ59" s="619"/>
      <c r="BA59" s="619"/>
    </row>
    <row r="60" spans="2:53" s="69" customFormat="1" ht="33">
      <c r="B60" s="660">
        <f>B58+1</f>
        <v>33</v>
      </c>
      <c r="C60" s="185" t="s">
        <v>1200</v>
      </c>
      <c r="D60" s="186" t="s">
        <v>1201</v>
      </c>
      <c r="E60" s="660" t="s">
        <v>1202</v>
      </c>
      <c r="F60" s="660">
        <v>5</v>
      </c>
      <c r="G60" s="187">
        <v>4345</v>
      </c>
      <c r="H60" s="687"/>
      <c r="I60" s="187"/>
      <c r="J60" s="692"/>
      <c r="K60" s="194"/>
      <c r="L60" s="194"/>
      <c r="M60" s="692"/>
      <c r="N60" s="194"/>
      <c r="O60" s="692"/>
      <c r="P60" s="194"/>
      <c r="Q60" s="194"/>
      <c r="R60" s="187">
        <f t="shared" si="54"/>
        <v>4345</v>
      </c>
      <c r="S60" s="187">
        <v>1</v>
      </c>
      <c r="T60" s="194"/>
      <c r="U60" s="194"/>
      <c r="V60" s="688">
        <v>0</v>
      </c>
      <c r="W60" s="192">
        <f>R60*V60</f>
        <v>0</v>
      </c>
      <c r="X60" s="674"/>
      <c r="Y60" s="688"/>
      <c r="Z60" s="187"/>
      <c r="AA60" s="187">
        <f t="shared" ref="AA60:AA71" si="69">AH60</f>
        <v>3655</v>
      </c>
      <c r="AB60" s="187">
        <f t="shared" ref="AB60:AB69" si="70">(R60+AA60)*S60</f>
        <v>8000</v>
      </c>
      <c r="AC60" s="689">
        <f t="shared" si="56"/>
        <v>0</v>
      </c>
      <c r="AD60" s="689">
        <f t="shared" ref="AD60:AD70" si="71">AB60+AC60</f>
        <v>8000</v>
      </c>
      <c r="AE60" s="190">
        <f t="shared" ref="AE60:AE70" si="72">AB60</f>
        <v>8000</v>
      </c>
      <c r="AF60" s="190">
        <f t="shared" si="59"/>
        <v>0</v>
      </c>
      <c r="AG60" s="689">
        <f>8000*S60</f>
        <v>8000</v>
      </c>
      <c r="AH60" s="190">
        <f t="shared" ref="AH60:AH70" si="73">AG60-(R60*S60)</f>
        <v>3655</v>
      </c>
      <c r="AI60" s="191">
        <f t="shared" si="60"/>
        <v>4345</v>
      </c>
      <c r="AJ60" s="191">
        <f t="shared" si="61"/>
        <v>0</v>
      </c>
      <c r="AK60" s="191">
        <f t="shared" si="62"/>
        <v>4345</v>
      </c>
      <c r="AL60" s="191">
        <f t="shared" si="52"/>
        <v>0</v>
      </c>
      <c r="AM60" s="191">
        <f t="shared" si="63"/>
        <v>0</v>
      </c>
      <c r="AN60" s="191">
        <f t="shared" si="63"/>
        <v>0</v>
      </c>
      <c r="AO60" s="193">
        <f t="shared" si="64"/>
        <v>0</v>
      </c>
      <c r="AP60" s="193">
        <f t="shared" si="65"/>
        <v>0</v>
      </c>
      <c r="AQ60" s="193">
        <f t="shared" si="66"/>
        <v>3655</v>
      </c>
      <c r="AR60" s="193">
        <f t="shared" si="67"/>
        <v>0</v>
      </c>
      <c r="AS60" s="193">
        <f t="shared" si="68"/>
        <v>0</v>
      </c>
      <c r="AT60" s="197">
        <f t="shared" si="13"/>
        <v>4345</v>
      </c>
      <c r="AU60" s="197">
        <f t="shared" si="13"/>
        <v>0</v>
      </c>
      <c r="AV60" s="191"/>
      <c r="AW60" s="236">
        <f>R60*S60</f>
        <v>4345</v>
      </c>
      <c r="AX60" s="236"/>
      <c r="AY60" s="619"/>
      <c r="AZ60" s="619"/>
      <c r="BA60" s="619"/>
    </row>
    <row r="61" spans="2:53" s="69" customFormat="1" ht="33">
      <c r="B61" s="660">
        <f>1+B60</f>
        <v>34</v>
      </c>
      <c r="C61" s="185" t="s">
        <v>1200</v>
      </c>
      <c r="D61" s="186" t="s">
        <v>1201</v>
      </c>
      <c r="E61" s="660" t="s">
        <v>1203</v>
      </c>
      <c r="F61" s="660">
        <v>5</v>
      </c>
      <c r="G61" s="187">
        <v>4345</v>
      </c>
      <c r="H61" s="687"/>
      <c r="I61" s="187"/>
      <c r="J61" s="687"/>
      <c r="K61" s="187"/>
      <c r="L61" s="187"/>
      <c r="M61" s="687"/>
      <c r="N61" s="187"/>
      <c r="O61" s="687"/>
      <c r="P61" s="187"/>
      <c r="Q61" s="187"/>
      <c r="R61" s="187">
        <f t="shared" si="54"/>
        <v>4345</v>
      </c>
      <c r="S61" s="187">
        <v>1</v>
      </c>
      <c r="T61" s="194"/>
      <c r="U61" s="194"/>
      <c r="V61" s="688">
        <v>0</v>
      </c>
      <c r="W61" s="192">
        <f>R61*V61</f>
        <v>0</v>
      </c>
      <c r="X61" s="674"/>
      <c r="Y61" s="688"/>
      <c r="Z61" s="187"/>
      <c r="AA61" s="187">
        <f t="shared" si="69"/>
        <v>3655</v>
      </c>
      <c r="AB61" s="187">
        <f t="shared" si="70"/>
        <v>8000</v>
      </c>
      <c r="AC61" s="689">
        <f t="shared" si="56"/>
        <v>0</v>
      </c>
      <c r="AD61" s="689">
        <f t="shared" si="71"/>
        <v>8000</v>
      </c>
      <c r="AE61" s="190">
        <f t="shared" si="72"/>
        <v>8000</v>
      </c>
      <c r="AF61" s="190">
        <f t="shared" si="59"/>
        <v>0</v>
      </c>
      <c r="AG61" s="689">
        <f>8000*S61</f>
        <v>8000</v>
      </c>
      <c r="AH61" s="190">
        <f t="shared" si="73"/>
        <v>3655</v>
      </c>
      <c r="AI61" s="191">
        <f t="shared" si="60"/>
        <v>4345</v>
      </c>
      <c r="AJ61" s="191">
        <f t="shared" si="61"/>
        <v>0</v>
      </c>
      <c r="AK61" s="191">
        <f t="shared" si="62"/>
        <v>4345</v>
      </c>
      <c r="AL61" s="191">
        <f t="shared" si="52"/>
        <v>0</v>
      </c>
      <c r="AM61" s="191">
        <f t="shared" si="63"/>
        <v>0</v>
      </c>
      <c r="AN61" s="191">
        <f t="shared" si="63"/>
        <v>0</v>
      </c>
      <c r="AO61" s="193">
        <f t="shared" si="64"/>
        <v>0</v>
      </c>
      <c r="AP61" s="193">
        <f t="shared" si="65"/>
        <v>0</v>
      </c>
      <c r="AQ61" s="193">
        <f t="shared" si="66"/>
        <v>3655</v>
      </c>
      <c r="AR61" s="193">
        <f t="shared" si="67"/>
        <v>0</v>
      </c>
      <c r="AS61" s="193">
        <f t="shared" si="68"/>
        <v>0</v>
      </c>
      <c r="AT61" s="197">
        <f t="shared" si="13"/>
        <v>4345</v>
      </c>
      <c r="AU61" s="197">
        <f t="shared" si="13"/>
        <v>0</v>
      </c>
      <c r="AV61" s="191"/>
      <c r="AW61" s="236">
        <f t="shared" ref="AW61:AW70" si="74">R61*S61</f>
        <v>4345</v>
      </c>
      <c r="AX61" s="236"/>
      <c r="AY61" s="619"/>
      <c r="AZ61" s="619"/>
      <c r="BA61" s="619"/>
    </row>
    <row r="62" spans="2:53" s="69" customFormat="1" ht="33">
      <c r="B62" s="660">
        <f>1+B61</f>
        <v>35</v>
      </c>
      <c r="C62" s="185" t="s">
        <v>1204</v>
      </c>
      <c r="D62" s="186"/>
      <c r="E62" s="660" t="s">
        <v>1205</v>
      </c>
      <c r="F62" s="660">
        <v>2</v>
      </c>
      <c r="G62" s="187">
        <v>3483</v>
      </c>
      <c r="H62" s="687"/>
      <c r="I62" s="187"/>
      <c r="J62" s="687"/>
      <c r="K62" s="187"/>
      <c r="L62" s="187"/>
      <c r="M62" s="687"/>
      <c r="N62" s="187"/>
      <c r="O62" s="687"/>
      <c r="P62" s="187"/>
      <c r="Q62" s="187"/>
      <c r="R62" s="187">
        <f t="shared" si="54"/>
        <v>3483</v>
      </c>
      <c r="S62" s="187">
        <v>1</v>
      </c>
      <c r="T62" s="194"/>
      <c r="U62" s="194"/>
      <c r="V62" s="692"/>
      <c r="W62" s="194"/>
      <c r="X62" s="674"/>
      <c r="Y62" s="688"/>
      <c r="Z62" s="187"/>
      <c r="AA62" s="187">
        <f t="shared" si="69"/>
        <v>4517</v>
      </c>
      <c r="AB62" s="187">
        <f t="shared" si="70"/>
        <v>8000</v>
      </c>
      <c r="AC62" s="689">
        <f t="shared" si="56"/>
        <v>0</v>
      </c>
      <c r="AD62" s="689">
        <f t="shared" si="71"/>
        <v>8000</v>
      </c>
      <c r="AE62" s="190">
        <f t="shared" si="72"/>
        <v>8000</v>
      </c>
      <c r="AF62" s="190">
        <f t="shared" si="59"/>
        <v>0</v>
      </c>
      <c r="AG62" s="689">
        <f>8000*S62</f>
        <v>8000</v>
      </c>
      <c r="AH62" s="190">
        <f t="shared" si="73"/>
        <v>4517</v>
      </c>
      <c r="AI62" s="191">
        <f t="shared" si="60"/>
        <v>3483</v>
      </c>
      <c r="AJ62" s="191">
        <f t="shared" si="61"/>
        <v>0</v>
      </c>
      <c r="AK62" s="191">
        <f t="shared" si="62"/>
        <v>3483</v>
      </c>
      <c r="AL62" s="191">
        <f t="shared" si="52"/>
        <v>0</v>
      </c>
      <c r="AM62" s="191">
        <f t="shared" si="63"/>
        <v>0</v>
      </c>
      <c r="AN62" s="191">
        <f t="shared" si="63"/>
        <v>0</v>
      </c>
      <c r="AO62" s="193">
        <f t="shared" si="64"/>
        <v>0</v>
      </c>
      <c r="AP62" s="193">
        <f t="shared" si="65"/>
        <v>0</v>
      </c>
      <c r="AQ62" s="193">
        <f t="shared" si="66"/>
        <v>4517</v>
      </c>
      <c r="AR62" s="193">
        <f t="shared" si="67"/>
        <v>0</v>
      </c>
      <c r="AS62" s="193">
        <f t="shared" si="68"/>
        <v>0</v>
      </c>
      <c r="AT62" s="197">
        <f t="shared" si="13"/>
        <v>3483</v>
      </c>
      <c r="AU62" s="197">
        <f t="shared" si="13"/>
        <v>0</v>
      </c>
      <c r="AV62" s="191"/>
      <c r="AW62" s="236">
        <f t="shared" si="74"/>
        <v>3483</v>
      </c>
      <c r="AX62" s="236"/>
      <c r="AY62" s="619"/>
      <c r="AZ62" s="619"/>
      <c r="BA62" s="619"/>
    </row>
    <row r="63" spans="2:53" s="69" customFormat="1" ht="33">
      <c r="B63" s="660">
        <f>1+B62</f>
        <v>36</v>
      </c>
      <c r="C63" s="185" t="s">
        <v>1204</v>
      </c>
      <c r="D63" s="186"/>
      <c r="E63" s="660" t="s">
        <v>1206</v>
      </c>
      <c r="F63" s="660">
        <v>2</v>
      </c>
      <c r="G63" s="187">
        <v>3483</v>
      </c>
      <c r="H63" s="687"/>
      <c r="I63" s="187"/>
      <c r="J63" s="687"/>
      <c r="K63" s="187"/>
      <c r="L63" s="187"/>
      <c r="M63" s="687"/>
      <c r="N63" s="187"/>
      <c r="O63" s="687"/>
      <c r="P63" s="187"/>
      <c r="Q63" s="187"/>
      <c r="R63" s="187">
        <f t="shared" si="54"/>
        <v>3483</v>
      </c>
      <c r="S63" s="187">
        <v>1</v>
      </c>
      <c r="T63" s="194"/>
      <c r="U63" s="194"/>
      <c r="V63" s="692"/>
      <c r="W63" s="194"/>
      <c r="X63" s="674"/>
      <c r="Y63" s="688"/>
      <c r="Z63" s="187"/>
      <c r="AA63" s="187">
        <f t="shared" si="69"/>
        <v>4517</v>
      </c>
      <c r="AB63" s="187">
        <f t="shared" si="70"/>
        <v>8000</v>
      </c>
      <c r="AC63" s="689">
        <f t="shared" si="56"/>
        <v>0</v>
      </c>
      <c r="AD63" s="689">
        <f t="shared" si="71"/>
        <v>8000</v>
      </c>
      <c r="AE63" s="190">
        <f t="shared" si="72"/>
        <v>8000</v>
      </c>
      <c r="AF63" s="190">
        <f t="shared" si="59"/>
        <v>0</v>
      </c>
      <c r="AG63" s="689">
        <f>8000*S63</f>
        <v>8000</v>
      </c>
      <c r="AH63" s="190">
        <f t="shared" si="73"/>
        <v>4517</v>
      </c>
      <c r="AI63" s="191">
        <f t="shared" si="60"/>
        <v>3483</v>
      </c>
      <c r="AJ63" s="191">
        <f t="shared" si="61"/>
        <v>0</v>
      </c>
      <c r="AK63" s="191">
        <f t="shared" si="62"/>
        <v>3483</v>
      </c>
      <c r="AL63" s="191">
        <f>R63*T63</f>
        <v>0</v>
      </c>
      <c r="AM63" s="191">
        <f t="shared" si="63"/>
        <v>0</v>
      </c>
      <c r="AN63" s="191">
        <f t="shared" si="63"/>
        <v>0</v>
      </c>
      <c r="AO63" s="193">
        <f t="shared" si="64"/>
        <v>0</v>
      </c>
      <c r="AP63" s="193">
        <f t="shared" si="65"/>
        <v>0</v>
      </c>
      <c r="AQ63" s="193">
        <f t="shared" si="66"/>
        <v>4517</v>
      </c>
      <c r="AR63" s="193">
        <f t="shared" si="67"/>
        <v>0</v>
      </c>
      <c r="AS63" s="193">
        <f t="shared" si="68"/>
        <v>0</v>
      </c>
      <c r="AT63" s="197">
        <f t="shared" si="13"/>
        <v>3483</v>
      </c>
      <c r="AU63" s="197">
        <f t="shared" si="13"/>
        <v>0</v>
      </c>
      <c r="AV63" s="191"/>
      <c r="AW63" s="236">
        <f t="shared" si="74"/>
        <v>3483</v>
      </c>
      <c r="AX63" s="236"/>
      <c r="AY63" s="619"/>
      <c r="AZ63" s="619"/>
      <c r="BA63" s="619"/>
    </row>
    <row r="64" spans="2:53" s="69" customFormat="1" ht="33">
      <c r="B64" s="660"/>
      <c r="C64" s="201" t="s">
        <v>1771</v>
      </c>
      <c r="D64" s="186"/>
      <c r="E64" s="660"/>
      <c r="F64" s="660"/>
      <c r="G64" s="187"/>
      <c r="H64" s="687"/>
      <c r="I64" s="187"/>
      <c r="J64" s="687"/>
      <c r="K64" s="187"/>
      <c r="L64" s="187"/>
      <c r="M64" s="687"/>
      <c r="N64" s="187"/>
      <c r="O64" s="687"/>
      <c r="P64" s="187"/>
      <c r="Q64" s="187"/>
      <c r="R64" s="187"/>
      <c r="S64" s="187"/>
      <c r="T64" s="194"/>
      <c r="U64" s="194"/>
      <c r="V64" s="692"/>
      <c r="W64" s="194"/>
      <c r="X64" s="674"/>
      <c r="Y64" s="688"/>
      <c r="Z64" s="187"/>
      <c r="AA64" s="187"/>
      <c r="AB64" s="187"/>
      <c r="AC64" s="689"/>
      <c r="AD64" s="689"/>
      <c r="AE64" s="190"/>
      <c r="AF64" s="190"/>
      <c r="AG64" s="689"/>
      <c r="AH64" s="190"/>
      <c r="AI64" s="191"/>
      <c r="AJ64" s="191"/>
      <c r="AK64" s="191"/>
      <c r="AL64" s="191">
        <f t="shared" si="52"/>
        <v>0</v>
      </c>
      <c r="AM64" s="191"/>
      <c r="AN64" s="191"/>
      <c r="AO64" s="193"/>
      <c r="AP64" s="193"/>
      <c r="AQ64" s="193"/>
      <c r="AR64" s="193"/>
      <c r="AS64" s="193"/>
      <c r="AT64" s="197"/>
      <c r="AU64" s="197"/>
      <c r="AV64" s="191"/>
      <c r="AW64" s="236"/>
      <c r="AX64" s="236"/>
      <c r="AY64" s="619"/>
      <c r="AZ64" s="619"/>
      <c r="BA64" s="619"/>
    </row>
    <row r="65" spans="2:53" s="69" customFormat="1" ht="33">
      <c r="B65" s="660">
        <f>B63+1</f>
        <v>37</v>
      </c>
      <c r="C65" s="199" t="s">
        <v>1182</v>
      </c>
      <c r="D65" s="186" t="s">
        <v>1183</v>
      </c>
      <c r="E65" s="194" t="s">
        <v>1184</v>
      </c>
      <c r="F65" s="660">
        <v>9</v>
      </c>
      <c r="G65" s="187">
        <v>5527</v>
      </c>
      <c r="H65" s="687"/>
      <c r="I65" s="187"/>
      <c r="J65" s="687"/>
      <c r="K65" s="187"/>
      <c r="L65" s="187"/>
      <c r="M65" s="687"/>
      <c r="N65" s="187"/>
      <c r="O65" s="687"/>
      <c r="P65" s="187"/>
      <c r="Q65" s="187"/>
      <c r="R65" s="187">
        <f t="shared" si="54"/>
        <v>5527</v>
      </c>
      <c r="S65" s="187">
        <v>1</v>
      </c>
      <c r="T65" s="194"/>
      <c r="U65" s="194"/>
      <c r="V65" s="692"/>
      <c r="W65" s="194"/>
      <c r="X65" s="674"/>
      <c r="Y65" s="688"/>
      <c r="Z65" s="187"/>
      <c r="AA65" s="187">
        <f t="shared" si="69"/>
        <v>2473</v>
      </c>
      <c r="AB65" s="187">
        <f t="shared" si="70"/>
        <v>8000</v>
      </c>
      <c r="AC65" s="689">
        <f t="shared" si="56"/>
        <v>0</v>
      </c>
      <c r="AD65" s="689">
        <f t="shared" si="71"/>
        <v>8000</v>
      </c>
      <c r="AE65" s="190">
        <f t="shared" si="72"/>
        <v>8000</v>
      </c>
      <c r="AF65" s="190">
        <f t="shared" si="59"/>
        <v>0</v>
      </c>
      <c r="AG65" s="689">
        <f t="shared" ref="AG65:AG70" si="75">8000*S65</f>
        <v>8000</v>
      </c>
      <c r="AH65" s="190">
        <f t="shared" si="73"/>
        <v>2473</v>
      </c>
      <c r="AI65" s="191">
        <f t="shared" si="60"/>
        <v>5527</v>
      </c>
      <c r="AJ65" s="191">
        <f t="shared" si="61"/>
        <v>0</v>
      </c>
      <c r="AK65" s="191">
        <f t="shared" si="62"/>
        <v>5527</v>
      </c>
      <c r="AL65" s="191">
        <f t="shared" si="52"/>
        <v>0</v>
      </c>
      <c r="AM65" s="191">
        <f t="shared" si="63"/>
        <v>0</v>
      </c>
      <c r="AN65" s="191">
        <f t="shared" si="63"/>
        <v>0</v>
      </c>
      <c r="AO65" s="193">
        <f t="shared" si="64"/>
        <v>0</v>
      </c>
      <c r="AP65" s="193">
        <f t="shared" si="65"/>
        <v>0</v>
      </c>
      <c r="AQ65" s="193">
        <f t="shared" si="66"/>
        <v>2473</v>
      </c>
      <c r="AR65" s="193">
        <f t="shared" si="67"/>
        <v>0</v>
      </c>
      <c r="AS65" s="193">
        <f t="shared" si="68"/>
        <v>0</v>
      </c>
      <c r="AT65" s="197">
        <f t="shared" si="13"/>
        <v>5527</v>
      </c>
      <c r="AU65" s="197">
        <f t="shared" si="13"/>
        <v>0</v>
      </c>
      <c r="AV65" s="191"/>
      <c r="AW65" s="236">
        <f t="shared" si="74"/>
        <v>5527</v>
      </c>
      <c r="AX65" s="236">
        <f>13500*S65-AB65</f>
        <v>5500</v>
      </c>
      <c r="AY65" s="619"/>
      <c r="AZ65" s="619"/>
      <c r="BA65" s="619"/>
    </row>
    <row r="66" spans="2:53" s="69" customFormat="1" ht="63">
      <c r="B66" s="660">
        <f>1+B65</f>
        <v>38</v>
      </c>
      <c r="C66" s="199" t="s">
        <v>1217</v>
      </c>
      <c r="D66" s="186" t="s">
        <v>210</v>
      </c>
      <c r="E66" s="194" t="s">
        <v>1218</v>
      </c>
      <c r="F66" s="194">
        <v>4</v>
      </c>
      <c r="G66" s="187">
        <v>4058</v>
      </c>
      <c r="H66" s="687"/>
      <c r="I66" s="187"/>
      <c r="J66" s="687"/>
      <c r="K66" s="187"/>
      <c r="L66" s="187"/>
      <c r="M66" s="687"/>
      <c r="N66" s="187"/>
      <c r="O66" s="687"/>
      <c r="P66" s="187"/>
      <c r="Q66" s="187"/>
      <c r="R66" s="187">
        <f t="shared" si="54"/>
        <v>4058</v>
      </c>
      <c r="S66" s="187">
        <v>1</v>
      </c>
      <c r="T66" s="194"/>
      <c r="U66" s="194"/>
      <c r="V66" s="692"/>
      <c r="W66" s="194"/>
      <c r="X66" s="674"/>
      <c r="Y66" s="688"/>
      <c r="Z66" s="187"/>
      <c r="AA66" s="187">
        <f t="shared" si="69"/>
        <v>3942</v>
      </c>
      <c r="AB66" s="187">
        <f t="shared" si="70"/>
        <v>8000</v>
      </c>
      <c r="AC66" s="689">
        <f>AF66</f>
        <v>0</v>
      </c>
      <c r="AD66" s="689">
        <f t="shared" si="71"/>
        <v>8000</v>
      </c>
      <c r="AE66" s="190">
        <f>AB66</f>
        <v>8000</v>
      </c>
      <c r="AF66" s="190">
        <f>AE66-AB66</f>
        <v>0</v>
      </c>
      <c r="AG66" s="689">
        <f t="shared" si="75"/>
        <v>8000</v>
      </c>
      <c r="AH66" s="190">
        <f t="shared" si="73"/>
        <v>3942</v>
      </c>
      <c r="AI66" s="191">
        <f t="shared" si="60"/>
        <v>4058</v>
      </c>
      <c r="AJ66" s="191">
        <f t="shared" si="61"/>
        <v>0</v>
      </c>
      <c r="AK66" s="191">
        <f t="shared" si="62"/>
        <v>4058</v>
      </c>
      <c r="AL66" s="191">
        <f t="shared" si="52"/>
        <v>0</v>
      </c>
      <c r="AM66" s="191">
        <f t="shared" si="63"/>
        <v>0</v>
      </c>
      <c r="AN66" s="191">
        <f t="shared" si="63"/>
        <v>0</v>
      </c>
      <c r="AO66" s="193">
        <f t="shared" si="64"/>
        <v>0</v>
      </c>
      <c r="AP66" s="193">
        <f t="shared" si="65"/>
        <v>0</v>
      </c>
      <c r="AQ66" s="193">
        <f t="shared" si="66"/>
        <v>3942</v>
      </c>
      <c r="AR66" s="193">
        <f>W66*S66</f>
        <v>0</v>
      </c>
      <c r="AS66" s="193">
        <f>W66*T66</f>
        <v>0</v>
      </c>
      <c r="AT66" s="197">
        <f t="shared" si="13"/>
        <v>4058</v>
      </c>
      <c r="AU66" s="197">
        <f t="shared" si="13"/>
        <v>0</v>
      </c>
      <c r="AV66" s="191"/>
      <c r="AW66" s="236">
        <f t="shared" si="74"/>
        <v>4058</v>
      </c>
      <c r="AX66" s="236"/>
      <c r="AY66" s="619"/>
      <c r="AZ66" s="619"/>
      <c r="BA66" s="619"/>
    </row>
    <row r="67" spans="2:53" s="69" customFormat="1" ht="63">
      <c r="B67" s="660">
        <f>B66+1</f>
        <v>39</v>
      </c>
      <c r="C67" s="199" t="s">
        <v>1217</v>
      </c>
      <c r="D67" s="186" t="s">
        <v>210</v>
      </c>
      <c r="E67" s="194" t="s">
        <v>211</v>
      </c>
      <c r="F67" s="194">
        <v>4</v>
      </c>
      <c r="G67" s="187">
        <v>4058</v>
      </c>
      <c r="H67" s="687"/>
      <c r="I67" s="187"/>
      <c r="J67" s="687"/>
      <c r="K67" s="187"/>
      <c r="L67" s="187"/>
      <c r="M67" s="687"/>
      <c r="N67" s="187"/>
      <c r="O67" s="687"/>
      <c r="P67" s="187"/>
      <c r="Q67" s="187"/>
      <c r="R67" s="187">
        <f t="shared" si="54"/>
        <v>4058</v>
      </c>
      <c r="S67" s="187">
        <v>1</v>
      </c>
      <c r="T67" s="194"/>
      <c r="U67" s="194"/>
      <c r="V67" s="692"/>
      <c r="W67" s="194"/>
      <c r="X67" s="674"/>
      <c r="Y67" s="688"/>
      <c r="Z67" s="187"/>
      <c r="AA67" s="187">
        <f t="shared" si="69"/>
        <v>3942</v>
      </c>
      <c r="AB67" s="187">
        <f t="shared" si="70"/>
        <v>8000</v>
      </c>
      <c r="AC67" s="689">
        <f>AF67</f>
        <v>0</v>
      </c>
      <c r="AD67" s="689">
        <f>AB67+AC67</f>
        <v>8000</v>
      </c>
      <c r="AE67" s="190">
        <f>AB67</f>
        <v>8000</v>
      </c>
      <c r="AF67" s="190">
        <f>AE67-AB67</f>
        <v>0</v>
      </c>
      <c r="AG67" s="689">
        <f t="shared" si="75"/>
        <v>8000</v>
      </c>
      <c r="AH67" s="190">
        <f t="shared" si="73"/>
        <v>3942</v>
      </c>
      <c r="AI67" s="191"/>
      <c r="AJ67" s="191"/>
      <c r="AK67" s="191"/>
      <c r="AL67" s="191"/>
      <c r="AM67" s="191"/>
      <c r="AN67" s="191"/>
      <c r="AO67" s="193"/>
      <c r="AP67" s="193"/>
      <c r="AQ67" s="193"/>
      <c r="AR67" s="193"/>
      <c r="AS67" s="193"/>
      <c r="AT67" s="197"/>
      <c r="AU67" s="197"/>
      <c r="AV67" s="191"/>
      <c r="AW67" s="236">
        <f t="shared" si="74"/>
        <v>4058</v>
      </c>
      <c r="AX67" s="236"/>
      <c r="AY67" s="619"/>
      <c r="AZ67" s="619"/>
      <c r="BA67" s="619"/>
    </row>
    <row r="68" spans="2:53" s="69" customFormat="1" ht="63">
      <c r="B68" s="660">
        <f>B67+1</f>
        <v>40</v>
      </c>
      <c r="C68" s="199" t="s">
        <v>1217</v>
      </c>
      <c r="D68" s="186" t="s">
        <v>210</v>
      </c>
      <c r="E68" s="194" t="s">
        <v>212</v>
      </c>
      <c r="F68" s="194">
        <v>4</v>
      </c>
      <c r="G68" s="187">
        <v>4058</v>
      </c>
      <c r="H68" s="687"/>
      <c r="I68" s="187"/>
      <c r="J68" s="687"/>
      <c r="K68" s="187"/>
      <c r="L68" s="187"/>
      <c r="M68" s="687"/>
      <c r="N68" s="187"/>
      <c r="O68" s="687"/>
      <c r="P68" s="187"/>
      <c r="Q68" s="187"/>
      <c r="R68" s="187">
        <f t="shared" si="54"/>
        <v>4058</v>
      </c>
      <c r="S68" s="187">
        <v>1</v>
      </c>
      <c r="T68" s="194"/>
      <c r="U68" s="194"/>
      <c r="V68" s="692"/>
      <c r="W68" s="194"/>
      <c r="X68" s="674"/>
      <c r="Y68" s="688"/>
      <c r="Z68" s="187"/>
      <c r="AA68" s="187">
        <f t="shared" si="69"/>
        <v>3942</v>
      </c>
      <c r="AB68" s="187">
        <f t="shared" si="70"/>
        <v>8000</v>
      </c>
      <c r="AC68" s="689">
        <f>AF68</f>
        <v>0</v>
      </c>
      <c r="AD68" s="689">
        <f>AB68+AC68</f>
        <v>8000</v>
      </c>
      <c r="AE68" s="190">
        <f>AB68</f>
        <v>8000</v>
      </c>
      <c r="AF68" s="190">
        <f>AE68-AB68</f>
        <v>0</v>
      </c>
      <c r="AG68" s="689">
        <f t="shared" si="75"/>
        <v>8000</v>
      </c>
      <c r="AH68" s="190">
        <f t="shared" si="73"/>
        <v>3942</v>
      </c>
      <c r="AI68" s="191"/>
      <c r="AJ68" s="191"/>
      <c r="AK68" s="191"/>
      <c r="AL68" s="191"/>
      <c r="AM68" s="191"/>
      <c r="AN68" s="191"/>
      <c r="AO68" s="193"/>
      <c r="AP68" s="193"/>
      <c r="AQ68" s="193"/>
      <c r="AR68" s="193"/>
      <c r="AS68" s="193"/>
      <c r="AT68" s="197"/>
      <c r="AU68" s="197"/>
      <c r="AV68" s="191"/>
      <c r="AW68" s="236">
        <f t="shared" si="74"/>
        <v>4058</v>
      </c>
      <c r="AX68" s="236"/>
      <c r="AY68" s="619"/>
      <c r="AZ68" s="619"/>
      <c r="BA68" s="619"/>
    </row>
    <row r="69" spans="2:53" s="71" customFormat="1" ht="33">
      <c r="B69" s="660">
        <f>B68+1</f>
        <v>41</v>
      </c>
      <c r="C69" s="199" t="s">
        <v>1207</v>
      </c>
      <c r="D69" s="200"/>
      <c r="E69" s="194" t="s">
        <v>1208</v>
      </c>
      <c r="F69" s="194">
        <v>1</v>
      </c>
      <c r="G69" s="187">
        <v>3195</v>
      </c>
      <c r="H69" s="687"/>
      <c r="I69" s="187"/>
      <c r="J69" s="687"/>
      <c r="K69" s="187"/>
      <c r="L69" s="187"/>
      <c r="M69" s="687"/>
      <c r="N69" s="187"/>
      <c r="O69" s="687"/>
      <c r="P69" s="187"/>
      <c r="Q69" s="187"/>
      <c r="R69" s="187">
        <f t="shared" si="54"/>
        <v>3195</v>
      </c>
      <c r="S69" s="187">
        <f>0.5+0.5</f>
        <v>1</v>
      </c>
      <c r="T69" s="194"/>
      <c r="U69" s="194"/>
      <c r="V69" s="692"/>
      <c r="W69" s="194"/>
      <c r="X69" s="674"/>
      <c r="Y69" s="688"/>
      <c r="Z69" s="187"/>
      <c r="AA69" s="187">
        <f t="shared" si="69"/>
        <v>4805</v>
      </c>
      <c r="AB69" s="187">
        <f t="shared" si="70"/>
        <v>8000</v>
      </c>
      <c r="AC69" s="689">
        <f t="shared" si="56"/>
        <v>0</v>
      </c>
      <c r="AD69" s="689">
        <f t="shared" si="71"/>
        <v>8000</v>
      </c>
      <c r="AE69" s="190">
        <f t="shared" si="72"/>
        <v>8000</v>
      </c>
      <c r="AF69" s="190">
        <f t="shared" si="59"/>
        <v>0</v>
      </c>
      <c r="AG69" s="689">
        <f t="shared" si="75"/>
        <v>8000</v>
      </c>
      <c r="AH69" s="190">
        <f t="shared" si="73"/>
        <v>4805</v>
      </c>
      <c r="AI69" s="191">
        <f t="shared" si="60"/>
        <v>3195</v>
      </c>
      <c r="AJ69" s="191">
        <f t="shared" si="61"/>
        <v>0</v>
      </c>
      <c r="AK69" s="191">
        <f t="shared" si="62"/>
        <v>3195</v>
      </c>
      <c r="AL69" s="191">
        <f t="shared" si="52"/>
        <v>0</v>
      </c>
      <c r="AM69" s="191">
        <f t="shared" si="63"/>
        <v>0</v>
      </c>
      <c r="AN69" s="191">
        <f t="shared" si="63"/>
        <v>0</v>
      </c>
      <c r="AO69" s="193">
        <f t="shared" si="64"/>
        <v>0</v>
      </c>
      <c r="AP69" s="193">
        <f t="shared" si="65"/>
        <v>0</v>
      </c>
      <c r="AQ69" s="193">
        <f t="shared" si="66"/>
        <v>4805</v>
      </c>
      <c r="AR69" s="193">
        <f t="shared" si="67"/>
        <v>0</v>
      </c>
      <c r="AS69" s="193">
        <f t="shared" si="68"/>
        <v>0</v>
      </c>
      <c r="AT69" s="197">
        <f t="shared" si="13"/>
        <v>3195</v>
      </c>
      <c r="AU69" s="197">
        <f t="shared" si="13"/>
        <v>0</v>
      </c>
      <c r="AV69" s="191"/>
      <c r="AW69" s="236">
        <f t="shared" si="74"/>
        <v>3195</v>
      </c>
      <c r="AX69" s="236"/>
      <c r="AY69" s="619"/>
      <c r="AZ69" s="619"/>
      <c r="BA69" s="619"/>
    </row>
    <row r="70" spans="2:53" s="72" customFormat="1" ht="33">
      <c r="B70" s="660">
        <f>1+B69</f>
        <v>42</v>
      </c>
      <c r="C70" s="199" t="s">
        <v>1209</v>
      </c>
      <c r="D70" s="186" t="s">
        <v>1210</v>
      </c>
      <c r="E70" s="194" t="s">
        <v>1211</v>
      </c>
      <c r="F70" s="660">
        <v>5</v>
      </c>
      <c r="G70" s="187">
        <v>4345</v>
      </c>
      <c r="H70" s="687"/>
      <c r="I70" s="187"/>
      <c r="J70" s="687"/>
      <c r="K70" s="187"/>
      <c r="L70" s="187"/>
      <c r="M70" s="687"/>
      <c r="N70" s="187"/>
      <c r="O70" s="687"/>
      <c r="P70" s="187"/>
      <c r="Q70" s="187"/>
      <c r="R70" s="187">
        <f t="shared" si="54"/>
        <v>4345</v>
      </c>
      <c r="S70" s="187">
        <v>0.5</v>
      </c>
      <c r="T70" s="194"/>
      <c r="U70" s="194"/>
      <c r="V70" s="692"/>
      <c r="W70" s="194"/>
      <c r="X70" s="674"/>
      <c r="Y70" s="688"/>
      <c r="Z70" s="187"/>
      <c r="AA70" s="187">
        <f t="shared" si="69"/>
        <v>1827.5</v>
      </c>
      <c r="AB70" s="187">
        <f>(R70+Z70+U70+W70)*S70+AA70</f>
        <v>4000</v>
      </c>
      <c r="AC70" s="689">
        <f t="shared" si="56"/>
        <v>0</v>
      </c>
      <c r="AD70" s="689">
        <f t="shared" si="71"/>
        <v>4000</v>
      </c>
      <c r="AE70" s="190">
        <f t="shared" si="72"/>
        <v>4000</v>
      </c>
      <c r="AF70" s="190">
        <f t="shared" si="59"/>
        <v>0</v>
      </c>
      <c r="AG70" s="689">
        <f t="shared" si="75"/>
        <v>4000</v>
      </c>
      <c r="AH70" s="190">
        <f t="shared" si="73"/>
        <v>1827.5</v>
      </c>
      <c r="AI70" s="191">
        <f>G70*S70</f>
        <v>2172.5</v>
      </c>
      <c r="AJ70" s="191">
        <f t="shared" si="61"/>
        <v>0</v>
      </c>
      <c r="AK70" s="191">
        <f t="shared" si="62"/>
        <v>2172.5</v>
      </c>
      <c r="AL70" s="191">
        <f t="shared" si="52"/>
        <v>0</v>
      </c>
      <c r="AM70" s="191">
        <f t="shared" si="63"/>
        <v>0</v>
      </c>
      <c r="AN70" s="191">
        <f t="shared" si="63"/>
        <v>0</v>
      </c>
      <c r="AO70" s="193">
        <f t="shared" si="64"/>
        <v>0</v>
      </c>
      <c r="AP70" s="193">
        <f t="shared" si="65"/>
        <v>0</v>
      </c>
      <c r="AQ70" s="193">
        <f t="shared" si="66"/>
        <v>1827.5</v>
      </c>
      <c r="AR70" s="193">
        <f t="shared" si="67"/>
        <v>0</v>
      </c>
      <c r="AS70" s="193">
        <f t="shared" si="68"/>
        <v>0</v>
      </c>
      <c r="AT70" s="197">
        <f t="shared" si="13"/>
        <v>2172.5</v>
      </c>
      <c r="AU70" s="197">
        <f t="shared" si="13"/>
        <v>0</v>
      </c>
      <c r="AV70" s="191"/>
      <c r="AW70" s="236">
        <f t="shared" si="74"/>
        <v>2172.5</v>
      </c>
      <c r="AX70" s="236"/>
      <c r="AY70" s="619"/>
      <c r="AZ70" s="619"/>
      <c r="BA70" s="619"/>
    </row>
    <row r="71" spans="2:53" s="69" customFormat="1" ht="63">
      <c r="B71" s="660">
        <f>1+B70</f>
        <v>43</v>
      </c>
      <c r="C71" s="185" t="s">
        <v>171</v>
      </c>
      <c r="D71" s="186" t="s">
        <v>172</v>
      </c>
      <c r="E71" s="660" t="s">
        <v>1199</v>
      </c>
      <c r="F71" s="660">
        <v>5</v>
      </c>
      <c r="G71" s="187">
        <v>4345</v>
      </c>
      <c r="H71" s="687"/>
      <c r="I71" s="187"/>
      <c r="J71" s="687"/>
      <c r="K71" s="187"/>
      <c r="L71" s="187"/>
      <c r="M71" s="687"/>
      <c r="N71" s="187"/>
      <c r="O71" s="687"/>
      <c r="P71" s="187"/>
      <c r="Q71" s="187"/>
      <c r="R71" s="187">
        <f t="shared" si="54"/>
        <v>4345</v>
      </c>
      <c r="S71" s="187"/>
      <c r="T71" s="187">
        <v>0.5</v>
      </c>
      <c r="U71" s="194"/>
      <c r="V71" s="692"/>
      <c r="W71" s="194"/>
      <c r="X71" s="674"/>
      <c r="Y71" s="688"/>
      <c r="Z71" s="187"/>
      <c r="AA71" s="187">
        <f t="shared" si="69"/>
        <v>1827.5</v>
      </c>
      <c r="AB71" s="187">
        <f>(R71+Z71+U71+W71)*T71+AA71</f>
        <v>4000</v>
      </c>
      <c r="AC71" s="689">
        <f t="shared" si="56"/>
        <v>0</v>
      </c>
      <c r="AD71" s="689">
        <f>AB71+AC71</f>
        <v>4000</v>
      </c>
      <c r="AE71" s="190">
        <f>AB71</f>
        <v>4000</v>
      </c>
      <c r="AF71" s="190">
        <f>AE71-AB71</f>
        <v>0</v>
      </c>
      <c r="AG71" s="689">
        <f>8000*T71</f>
        <v>4000</v>
      </c>
      <c r="AH71" s="190">
        <f>AG71-(R71*T71)</f>
        <v>1827.5</v>
      </c>
      <c r="AI71" s="191">
        <f>G71*T71</f>
        <v>2172.5</v>
      </c>
      <c r="AJ71" s="191">
        <f>G71*T71</f>
        <v>2172.5</v>
      </c>
      <c r="AK71" s="191">
        <f>R71*T71</f>
        <v>2172.5</v>
      </c>
      <c r="AL71" s="191">
        <f t="shared" si="52"/>
        <v>2172.5</v>
      </c>
      <c r="AM71" s="191">
        <f t="shared" si="63"/>
        <v>0</v>
      </c>
      <c r="AN71" s="191">
        <f t="shared" si="63"/>
        <v>0</v>
      </c>
      <c r="AO71" s="193">
        <f t="shared" si="64"/>
        <v>0</v>
      </c>
      <c r="AP71" s="193">
        <f t="shared" si="65"/>
        <v>0</v>
      </c>
      <c r="AQ71" s="193">
        <f t="shared" si="66"/>
        <v>1827.5</v>
      </c>
      <c r="AR71" s="193">
        <f t="shared" si="67"/>
        <v>0</v>
      </c>
      <c r="AS71" s="193">
        <f t="shared" si="68"/>
        <v>0</v>
      </c>
      <c r="AT71" s="197">
        <f t="shared" si="13"/>
        <v>2172.5</v>
      </c>
      <c r="AU71" s="197">
        <f t="shared" si="13"/>
        <v>2172.5</v>
      </c>
      <c r="AV71" s="191"/>
      <c r="AW71" s="236">
        <f>R71*T71</f>
        <v>2172.5</v>
      </c>
      <c r="AX71" s="236"/>
      <c r="AY71" s="619"/>
      <c r="AZ71" s="619"/>
      <c r="BA71" s="619"/>
    </row>
    <row r="72" spans="2:53" s="69" customFormat="1" ht="63">
      <c r="B72" s="660">
        <f>1+B71</f>
        <v>44</v>
      </c>
      <c r="C72" s="185" t="s">
        <v>171</v>
      </c>
      <c r="D72" s="186" t="s">
        <v>168</v>
      </c>
      <c r="E72" s="660" t="s">
        <v>213</v>
      </c>
      <c r="F72" s="660">
        <v>4</v>
      </c>
      <c r="G72" s="187">
        <v>4058</v>
      </c>
      <c r="H72" s="687"/>
      <c r="I72" s="187"/>
      <c r="J72" s="687"/>
      <c r="K72" s="187"/>
      <c r="L72" s="187"/>
      <c r="M72" s="687"/>
      <c r="N72" s="187"/>
      <c r="O72" s="687"/>
      <c r="P72" s="187"/>
      <c r="Q72" s="187"/>
      <c r="R72" s="187">
        <f>G72+I72+K72+L72+N72+P72+Q72</f>
        <v>4058</v>
      </c>
      <c r="S72" s="187">
        <v>1</v>
      </c>
      <c r="T72" s="194"/>
      <c r="U72" s="194"/>
      <c r="V72" s="692"/>
      <c r="W72" s="194"/>
      <c r="X72" s="674"/>
      <c r="Y72" s="688"/>
      <c r="Z72" s="187"/>
      <c r="AA72" s="187">
        <f>AH72</f>
        <v>3942</v>
      </c>
      <c r="AB72" s="187">
        <f>(R72+Z72+U72+W72)*S72+AA72</f>
        <v>8000</v>
      </c>
      <c r="AC72" s="689">
        <f>AF72</f>
        <v>0</v>
      </c>
      <c r="AD72" s="689">
        <f t="shared" si="57"/>
        <v>8000</v>
      </c>
      <c r="AE72" s="190">
        <f t="shared" si="58"/>
        <v>8000</v>
      </c>
      <c r="AF72" s="190">
        <f>AE72-AB72</f>
        <v>0</v>
      </c>
      <c r="AG72" s="689">
        <f>8000*S72</f>
        <v>8000</v>
      </c>
      <c r="AH72" s="190">
        <f>AG72-(R72*S72)</f>
        <v>3942</v>
      </c>
      <c r="AI72" s="191">
        <f>G72*S72</f>
        <v>4058</v>
      </c>
      <c r="AJ72" s="191">
        <f>G72*T72</f>
        <v>0</v>
      </c>
      <c r="AK72" s="191">
        <f>R72*S72</f>
        <v>4058</v>
      </c>
      <c r="AL72" s="191">
        <f t="shared" si="52"/>
        <v>0</v>
      </c>
      <c r="AM72" s="191">
        <f>AK72-AI72</f>
        <v>0</v>
      </c>
      <c r="AN72" s="191">
        <f>AL72-AJ72</f>
        <v>0</v>
      </c>
      <c r="AO72" s="193">
        <f>Z72*S72</f>
        <v>0</v>
      </c>
      <c r="AP72" s="193">
        <f>Z72*S72</f>
        <v>0</v>
      </c>
      <c r="AQ72" s="193">
        <f>AA72</f>
        <v>3942</v>
      </c>
      <c r="AR72" s="193">
        <f>W72*S72</f>
        <v>0</v>
      </c>
      <c r="AS72" s="193">
        <f>W72*T72</f>
        <v>0</v>
      </c>
      <c r="AT72" s="197">
        <f t="shared" si="13"/>
        <v>4058</v>
      </c>
      <c r="AU72" s="197">
        <f t="shared" si="13"/>
        <v>0</v>
      </c>
      <c r="AV72" s="191"/>
      <c r="AW72" s="236">
        <f>R72*S72</f>
        <v>4058</v>
      </c>
      <c r="AX72" s="236"/>
      <c r="AY72" s="619"/>
      <c r="AZ72" s="619"/>
      <c r="BA72" s="619"/>
    </row>
    <row r="73" spans="2:53" s="69" customFormat="1" ht="63">
      <c r="B73" s="660">
        <f>1+B72</f>
        <v>45</v>
      </c>
      <c r="C73" s="185" t="s">
        <v>1212</v>
      </c>
      <c r="D73" s="186" t="s">
        <v>210</v>
      </c>
      <c r="E73" s="660" t="s">
        <v>1732</v>
      </c>
      <c r="F73" s="660">
        <v>3</v>
      </c>
      <c r="G73" s="187">
        <v>3770</v>
      </c>
      <c r="H73" s="687"/>
      <c r="I73" s="187"/>
      <c r="J73" s="687"/>
      <c r="K73" s="187"/>
      <c r="L73" s="187"/>
      <c r="M73" s="687"/>
      <c r="N73" s="187"/>
      <c r="O73" s="687"/>
      <c r="P73" s="187"/>
      <c r="Q73" s="187"/>
      <c r="R73" s="187">
        <f t="shared" ref="R73:R79" si="76">G73+I73+K73+L73+N73+P73+Q73</f>
        <v>3770</v>
      </c>
      <c r="S73" s="187">
        <v>1</v>
      </c>
      <c r="T73" s="194"/>
      <c r="U73" s="194"/>
      <c r="V73" s="692"/>
      <c r="W73" s="194"/>
      <c r="X73" s="674"/>
      <c r="Y73" s="688"/>
      <c r="Z73" s="187"/>
      <c r="AA73" s="187">
        <f>AH73</f>
        <v>4230</v>
      </c>
      <c r="AB73" s="187">
        <f>(R73+AA73)*S73</f>
        <v>8000</v>
      </c>
      <c r="AC73" s="689">
        <f t="shared" ref="AC73:AC79" si="77">AF73</f>
        <v>0</v>
      </c>
      <c r="AD73" s="689">
        <f t="shared" si="57"/>
        <v>8000</v>
      </c>
      <c r="AE73" s="190">
        <f t="shared" si="58"/>
        <v>8000</v>
      </c>
      <c r="AF73" s="190">
        <f t="shared" ref="AF73:AF79" si="78">AE73-AB73</f>
        <v>0</v>
      </c>
      <c r="AG73" s="689">
        <f>8000*S73</f>
        <v>8000</v>
      </c>
      <c r="AH73" s="190">
        <f t="shared" ref="AH73:AH79" si="79">AG73-(R73*S73)</f>
        <v>4230</v>
      </c>
      <c r="AI73" s="191">
        <f t="shared" ref="AI73:AI79" si="80">G73*S73</f>
        <v>3770</v>
      </c>
      <c r="AJ73" s="191">
        <f>G73*T73</f>
        <v>0</v>
      </c>
      <c r="AK73" s="191">
        <f t="shared" ref="AK73:AK79" si="81">R73*S73</f>
        <v>3770</v>
      </c>
      <c r="AL73" s="191">
        <f t="shared" si="52"/>
        <v>0</v>
      </c>
      <c r="AM73" s="191">
        <f t="shared" ref="AM73:AN79" si="82">AK73-AI73</f>
        <v>0</v>
      </c>
      <c r="AN73" s="191">
        <f>AL73-AJ73</f>
        <v>0</v>
      </c>
      <c r="AO73" s="193">
        <f t="shared" ref="AO73:AO79" si="83">Z73*S73</f>
        <v>0</v>
      </c>
      <c r="AP73" s="193">
        <f t="shared" ref="AP73:AP79" si="84">Z73*T73</f>
        <v>0</v>
      </c>
      <c r="AQ73" s="193">
        <f t="shared" ref="AQ73:AQ79" si="85">AA73</f>
        <v>4230</v>
      </c>
      <c r="AR73" s="193">
        <f>W73*S73</f>
        <v>0</v>
      </c>
      <c r="AS73" s="193">
        <f>W73*T73</f>
        <v>0</v>
      </c>
      <c r="AT73" s="197">
        <f t="shared" si="13"/>
        <v>3770</v>
      </c>
      <c r="AU73" s="197">
        <f>AL73</f>
        <v>0</v>
      </c>
      <c r="AV73" s="191"/>
      <c r="AW73" s="236">
        <f>R73*S73</f>
        <v>3770</v>
      </c>
      <c r="AX73" s="236"/>
      <c r="AY73" s="619"/>
      <c r="AZ73" s="619"/>
      <c r="BA73" s="619"/>
    </row>
    <row r="74" spans="2:53" s="69" customFormat="1" ht="33">
      <c r="B74" s="660"/>
      <c r="C74" s="201" t="s">
        <v>1772</v>
      </c>
      <c r="D74" s="186"/>
      <c r="E74" s="660"/>
      <c r="F74" s="660"/>
      <c r="G74" s="187"/>
      <c r="H74" s="687"/>
      <c r="I74" s="187"/>
      <c r="J74" s="687"/>
      <c r="K74" s="187"/>
      <c r="L74" s="187"/>
      <c r="M74" s="687"/>
      <c r="N74" s="187"/>
      <c r="O74" s="687"/>
      <c r="P74" s="187"/>
      <c r="Q74" s="187"/>
      <c r="R74" s="187"/>
      <c r="S74" s="187"/>
      <c r="T74" s="194"/>
      <c r="U74" s="194"/>
      <c r="V74" s="692"/>
      <c r="W74" s="194"/>
      <c r="X74" s="674"/>
      <c r="Y74" s="688"/>
      <c r="Z74" s="187"/>
      <c r="AA74" s="187"/>
      <c r="AB74" s="187"/>
      <c r="AC74" s="689"/>
      <c r="AD74" s="689"/>
      <c r="AE74" s="190"/>
      <c r="AF74" s="190"/>
      <c r="AG74" s="689"/>
      <c r="AH74" s="190"/>
      <c r="AI74" s="191"/>
      <c r="AJ74" s="191"/>
      <c r="AK74" s="191"/>
      <c r="AL74" s="191">
        <f t="shared" si="52"/>
        <v>0</v>
      </c>
      <c r="AM74" s="191"/>
      <c r="AN74" s="191"/>
      <c r="AO74" s="193"/>
      <c r="AP74" s="193"/>
      <c r="AQ74" s="193"/>
      <c r="AR74" s="193"/>
      <c r="AS74" s="193"/>
      <c r="AT74" s="197"/>
      <c r="AU74" s="197"/>
      <c r="AV74" s="191"/>
      <c r="AW74" s="236"/>
      <c r="AX74" s="236"/>
      <c r="AY74" s="619"/>
      <c r="AZ74" s="619"/>
      <c r="BA74" s="619"/>
    </row>
    <row r="75" spans="2:53" s="69" customFormat="1" ht="33">
      <c r="B75" s="660">
        <f>B73+1</f>
        <v>46</v>
      </c>
      <c r="C75" s="199" t="s">
        <v>1213</v>
      </c>
      <c r="D75" s="186"/>
      <c r="E75" s="194" t="s">
        <v>214</v>
      </c>
      <c r="F75" s="194">
        <v>1</v>
      </c>
      <c r="G75" s="187">
        <v>3195</v>
      </c>
      <c r="H75" s="687"/>
      <c r="I75" s="187"/>
      <c r="J75" s="687"/>
      <c r="K75" s="187"/>
      <c r="L75" s="187"/>
      <c r="M75" s="687"/>
      <c r="N75" s="187"/>
      <c r="O75" s="687"/>
      <c r="P75" s="187"/>
      <c r="Q75" s="187"/>
      <c r="R75" s="187">
        <f t="shared" si="76"/>
        <v>3195</v>
      </c>
      <c r="S75" s="187">
        <v>1</v>
      </c>
      <c r="T75" s="194"/>
      <c r="U75" s="194"/>
      <c r="V75" s="688">
        <v>0.1</v>
      </c>
      <c r="W75" s="187">
        <f>R75*V75</f>
        <v>319.5</v>
      </c>
      <c r="X75" s="674"/>
      <c r="Y75" s="688"/>
      <c r="Z75" s="187"/>
      <c r="AA75" s="187">
        <f t="shared" ref="AA75:AA81" si="86">AH75</f>
        <v>4805</v>
      </c>
      <c r="AB75" s="187">
        <f>(R75+AA75)*S75+W75</f>
        <v>8319.5</v>
      </c>
      <c r="AC75" s="689">
        <f t="shared" si="77"/>
        <v>0</v>
      </c>
      <c r="AD75" s="689">
        <f t="shared" si="57"/>
        <v>8319.5</v>
      </c>
      <c r="AE75" s="190">
        <f t="shared" si="58"/>
        <v>8319.5</v>
      </c>
      <c r="AF75" s="190">
        <f t="shared" si="78"/>
        <v>0</v>
      </c>
      <c r="AG75" s="689">
        <f t="shared" ref="AG75:AG80" si="87">8000*S75</f>
        <v>8000</v>
      </c>
      <c r="AH75" s="190">
        <f>AG75-(R75*S75)</f>
        <v>4805</v>
      </c>
      <c r="AI75" s="191">
        <f t="shared" si="80"/>
        <v>3195</v>
      </c>
      <c r="AJ75" s="191">
        <f t="shared" ref="AJ75:AJ80" si="88">G75*T75</f>
        <v>0</v>
      </c>
      <c r="AK75" s="191">
        <f t="shared" si="81"/>
        <v>3195</v>
      </c>
      <c r="AL75" s="191">
        <f>R75*T75</f>
        <v>0</v>
      </c>
      <c r="AM75" s="191">
        <f t="shared" si="82"/>
        <v>0</v>
      </c>
      <c r="AN75" s="191">
        <f t="shared" si="82"/>
        <v>0</v>
      </c>
      <c r="AO75" s="193">
        <f t="shared" si="83"/>
        <v>0</v>
      </c>
      <c r="AP75" s="193">
        <f t="shared" si="84"/>
        <v>0</v>
      </c>
      <c r="AQ75" s="193">
        <f t="shared" si="85"/>
        <v>4805</v>
      </c>
      <c r="AR75" s="193">
        <f t="shared" ref="AR75:AR80" si="89">W75*S75</f>
        <v>319.5</v>
      </c>
      <c r="AS75" s="193">
        <f t="shared" ref="AS75:AS80" si="90">W75*T75</f>
        <v>0</v>
      </c>
      <c r="AT75" s="197">
        <f t="shared" si="13"/>
        <v>3195</v>
      </c>
      <c r="AU75" s="197">
        <f t="shared" si="13"/>
        <v>0</v>
      </c>
      <c r="AV75" s="191"/>
      <c r="AW75" s="236">
        <f>R75*S75</f>
        <v>3195</v>
      </c>
      <c r="AX75" s="236"/>
      <c r="AY75" s="619"/>
      <c r="AZ75" s="619"/>
      <c r="BA75" s="619"/>
    </row>
    <row r="76" spans="2:53" s="69" customFormat="1" ht="33">
      <c r="B76" s="660">
        <f>1+B75</f>
        <v>47</v>
      </c>
      <c r="C76" s="199" t="s">
        <v>1213</v>
      </c>
      <c r="D76" s="186"/>
      <c r="E76" s="194" t="s">
        <v>1214</v>
      </c>
      <c r="F76" s="194">
        <v>1</v>
      </c>
      <c r="G76" s="187">
        <v>3195</v>
      </c>
      <c r="H76" s="687"/>
      <c r="I76" s="187"/>
      <c r="J76" s="687"/>
      <c r="K76" s="187"/>
      <c r="L76" s="187"/>
      <c r="M76" s="687"/>
      <c r="N76" s="187"/>
      <c r="O76" s="687"/>
      <c r="P76" s="187"/>
      <c r="Q76" s="187"/>
      <c r="R76" s="187">
        <f t="shared" si="76"/>
        <v>3195</v>
      </c>
      <c r="S76" s="187">
        <v>1</v>
      </c>
      <c r="T76" s="194"/>
      <c r="U76" s="194"/>
      <c r="V76" s="688">
        <v>0.1</v>
      </c>
      <c r="W76" s="187">
        <f>R76*V76</f>
        <v>319.5</v>
      </c>
      <c r="X76" s="674"/>
      <c r="Y76" s="688"/>
      <c r="Z76" s="187"/>
      <c r="AA76" s="187">
        <f t="shared" si="86"/>
        <v>4805</v>
      </c>
      <c r="AB76" s="187">
        <f>(R76+AA76)*S76+W76</f>
        <v>8319.5</v>
      </c>
      <c r="AC76" s="689">
        <f t="shared" si="77"/>
        <v>0</v>
      </c>
      <c r="AD76" s="689">
        <f t="shared" si="57"/>
        <v>8319.5</v>
      </c>
      <c r="AE76" s="190">
        <f t="shared" si="58"/>
        <v>8319.5</v>
      </c>
      <c r="AF76" s="190">
        <f t="shared" si="78"/>
        <v>0</v>
      </c>
      <c r="AG76" s="689">
        <f t="shared" si="87"/>
        <v>8000</v>
      </c>
      <c r="AH76" s="190">
        <f t="shared" si="79"/>
        <v>4805</v>
      </c>
      <c r="AI76" s="191">
        <f t="shared" si="80"/>
        <v>3195</v>
      </c>
      <c r="AJ76" s="191">
        <f t="shared" si="88"/>
        <v>0</v>
      </c>
      <c r="AK76" s="191">
        <f t="shared" si="81"/>
        <v>3195</v>
      </c>
      <c r="AL76" s="191">
        <f t="shared" si="52"/>
        <v>0</v>
      </c>
      <c r="AM76" s="191">
        <f t="shared" si="82"/>
        <v>0</v>
      </c>
      <c r="AN76" s="191">
        <f t="shared" si="82"/>
        <v>0</v>
      </c>
      <c r="AO76" s="193">
        <f t="shared" si="83"/>
        <v>0</v>
      </c>
      <c r="AP76" s="193">
        <f t="shared" si="84"/>
        <v>0</v>
      </c>
      <c r="AQ76" s="193">
        <f t="shared" si="85"/>
        <v>4805</v>
      </c>
      <c r="AR76" s="193">
        <f t="shared" si="89"/>
        <v>319.5</v>
      </c>
      <c r="AS76" s="193">
        <f t="shared" si="90"/>
        <v>0</v>
      </c>
      <c r="AT76" s="197">
        <f t="shared" si="13"/>
        <v>3195</v>
      </c>
      <c r="AU76" s="197">
        <f t="shared" si="13"/>
        <v>0</v>
      </c>
      <c r="AV76" s="191"/>
      <c r="AW76" s="236">
        <f t="shared" ref="AW76:AW91" si="91">R76*S76</f>
        <v>3195</v>
      </c>
      <c r="AX76" s="236"/>
      <c r="AY76" s="619"/>
      <c r="AZ76" s="619"/>
      <c r="BA76" s="619"/>
    </row>
    <row r="77" spans="2:53" s="69" customFormat="1" ht="33">
      <c r="B77" s="660">
        <f>1+B76</f>
        <v>48</v>
      </c>
      <c r="C77" s="199" t="s">
        <v>1213</v>
      </c>
      <c r="D77" s="186"/>
      <c r="E77" s="194" t="s">
        <v>1733</v>
      </c>
      <c r="F77" s="194">
        <v>1</v>
      </c>
      <c r="G77" s="187">
        <v>3195</v>
      </c>
      <c r="H77" s="687"/>
      <c r="I77" s="187"/>
      <c r="J77" s="687"/>
      <c r="K77" s="187"/>
      <c r="L77" s="187"/>
      <c r="M77" s="687"/>
      <c r="N77" s="187"/>
      <c r="O77" s="687"/>
      <c r="P77" s="187"/>
      <c r="Q77" s="187"/>
      <c r="R77" s="187">
        <f t="shared" si="76"/>
        <v>3195</v>
      </c>
      <c r="S77" s="187">
        <v>1</v>
      </c>
      <c r="T77" s="194"/>
      <c r="U77" s="194"/>
      <c r="V77" s="688">
        <v>0.1</v>
      </c>
      <c r="W77" s="187">
        <f>R77*V77</f>
        <v>319.5</v>
      </c>
      <c r="X77" s="674"/>
      <c r="Y77" s="688"/>
      <c r="Z77" s="187"/>
      <c r="AA77" s="187">
        <f t="shared" si="86"/>
        <v>4805</v>
      </c>
      <c r="AB77" s="187">
        <f>(R77+Z77+U77+W77)*S77+AA77</f>
        <v>8319.5</v>
      </c>
      <c r="AC77" s="689">
        <f t="shared" si="77"/>
        <v>0</v>
      </c>
      <c r="AD77" s="689">
        <f t="shared" si="57"/>
        <v>8319.5</v>
      </c>
      <c r="AE77" s="190">
        <f t="shared" si="58"/>
        <v>8319.5</v>
      </c>
      <c r="AF77" s="190">
        <f t="shared" si="78"/>
        <v>0</v>
      </c>
      <c r="AG77" s="689">
        <f t="shared" si="87"/>
        <v>8000</v>
      </c>
      <c r="AH77" s="190">
        <f t="shared" si="79"/>
        <v>4805</v>
      </c>
      <c r="AI77" s="191">
        <f t="shared" si="80"/>
        <v>3195</v>
      </c>
      <c r="AJ77" s="191">
        <f t="shared" si="88"/>
        <v>0</v>
      </c>
      <c r="AK77" s="191">
        <f t="shared" si="81"/>
        <v>3195</v>
      </c>
      <c r="AL77" s="191">
        <f t="shared" si="52"/>
        <v>0</v>
      </c>
      <c r="AM77" s="191">
        <f t="shared" si="82"/>
        <v>0</v>
      </c>
      <c r="AN77" s="191">
        <f t="shared" si="82"/>
        <v>0</v>
      </c>
      <c r="AO77" s="193">
        <f t="shared" si="83"/>
        <v>0</v>
      </c>
      <c r="AP77" s="193">
        <f t="shared" si="84"/>
        <v>0</v>
      </c>
      <c r="AQ77" s="193">
        <f t="shared" si="85"/>
        <v>4805</v>
      </c>
      <c r="AR77" s="193">
        <f t="shared" si="89"/>
        <v>319.5</v>
      </c>
      <c r="AS77" s="193">
        <f t="shared" si="90"/>
        <v>0</v>
      </c>
      <c r="AT77" s="197">
        <f t="shared" si="13"/>
        <v>3195</v>
      </c>
      <c r="AU77" s="197">
        <f t="shared" si="13"/>
        <v>0</v>
      </c>
      <c r="AV77" s="191"/>
      <c r="AW77" s="236">
        <f t="shared" si="91"/>
        <v>3195</v>
      </c>
      <c r="AX77" s="236"/>
      <c r="AY77" s="619"/>
      <c r="AZ77" s="619"/>
      <c r="BA77" s="619"/>
    </row>
    <row r="78" spans="2:53" s="69" customFormat="1" ht="33">
      <c r="B78" s="660">
        <f t="shared" ref="B78:B132" si="92">1+B77</f>
        <v>49</v>
      </c>
      <c r="C78" s="199" t="s">
        <v>1213</v>
      </c>
      <c r="D78" s="186"/>
      <c r="E78" s="194" t="s">
        <v>101</v>
      </c>
      <c r="F78" s="194">
        <v>1</v>
      </c>
      <c r="G78" s="187">
        <v>3195</v>
      </c>
      <c r="H78" s="687"/>
      <c r="I78" s="187"/>
      <c r="J78" s="687"/>
      <c r="K78" s="187"/>
      <c r="L78" s="187"/>
      <c r="M78" s="687"/>
      <c r="N78" s="187"/>
      <c r="O78" s="687"/>
      <c r="P78" s="187"/>
      <c r="Q78" s="187"/>
      <c r="R78" s="187">
        <f t="shared" si="76"/>
        <v>3195</v>
      </c>
      <c r="S78" s="187">
        <v>1</v>
      </c>
      <c r="T78" s="194"/>
      <c r="U78" s="194"/>
      <c r="V78" s="688">
        <v>0.1</v>
      </c>
      <c r="W78" s="187">
        <f>R78*V78</f>
        <v>319.5</v>
      </c>
      <c r="X78" s="674"/>
      <c r="Y78" s="688"/>
      <c r="Z78" s="187"/>
      <c r="AA78" s="187">
        <f t="shared" si="86"/>
        <v>4805</v>
      </c>
      <c r="AB78" s="187">
        <f>(R78+AA78)*S78+W78</f>
        <v>8319.5</v>
      </c>
      <c r="AC78" s="689">
        <f t="shared" si="77"/>
        <v>0</v>
      </c>
      <c r="AD78" s="689">
        <f t="shared" si="57"/>
        <v>8319.5</v>
      </c>
      <c r="AE78" s="190">
        <f t="shared" si="58"/>
        <v>8319.5</v>
      </c>
      <c r="AF78" s="190">
        <f t="shared" si="78"/>
        <v>0</v>
      </c>
      <c r="AG78" s="689">
        <f t="shared" si="87"/>
        <v>8000</v>
      </c>
      <c r="AH78" s="190">
        <f t="shared" si="79"/>
        <v>4805</v>
      </c>
      <c r="AI78" s="191">
        <f t="shared" si="80"/>
        <v>3195</v>
      </c>
      <c r="AJ78" s="191">
        <f t="shared" si="88"/>
        <v>0</v>
      </c>
      <c r="AK78" s="191">
        <f t="shared" si="81"/>
        <v>3195</v>
      </c>
      <c r="AL78" s="191">
        <f t="shared" si="52"/>
        <v>0</v>
      </c>
      <c r="AM78" s="191">
        <f t="shared" si="82"/>
        <v>0</v>
      </c>
      <c r="AN78" s="191">
        <f t="shared" si="82"/>
        <v>0</v>
      </c>
      <c r="AO78" s="193">
        <f t="shared" si="83"/>
        <v>0</v>
      </c>
      <c r="AP78" s="193">
        <f t="shared" si="84"/>
        <v>0</v>
      </c>
      <c r="AQ78" s="193">
        <f t="shared" si="85"/>
        <v>4805</v>
      </c>
      <c r="AR78" s="193">
        <f t="shared" si="89"/>
        <v>319.5</v>
      </c>
      <c r="AS78" s="193">
        <f t="shared" si="90"/>
        <v>0</v>
      </c>
      <c r="AT78" s="197">
        <f t="shared" si="13"/>
        <v>3195</v>
      </c>
      <c r="AU78" s="197">
        <f t="shared" si="13"/>
        <v>0</v>
      </c>
      <c r="AV78" s="191"/>
      <c r="AW78" s="236">
        <f t="shared" si="91"/>
        <v>3195</v>
      </c>
      <c r="AX78" s="236"/>
      <c r="AY78" s="619"/>
      <c r="AZ78" s="619"/>
      <c r="BA78" s="619"/>
    </row>
    <row r="79" spans="2:53" s="69" customFormat="1" ht="33">
      <c r="B79" s="660">
        <f t="shared" si="92"/>
        <v>50</v>
      </c>
      <c r="C79" s="185" t="s">
        <v>1215</v>
      </c>
      <c r="D79" s="186"/>
      <c r="E79" s="660" t="s">
        <v>1216</v>
      </c>
      <c r="F79" s="660">
        <v>1</v>
      </c>
      <c r="G79" s="187">
        <v>3195</v>
      </c>
      <c r="H79" s="687"/>
      <c r="I79" s="187"/>
      <c r="J79" s="687"/>
      <c r="K79" s="187"/>
      <c r="L79" s="187"/>
      <c r="M79" s="687"/>
      <c r="N79" s="187"/>
      <c r="O79" s="687"/>
      <c r="P79" s="187"/>
      <c r="Q79" s="187"/>
      <c r="R79" s="187">
        <f t="shared" si="76"/>
        <v>3195</v>
      </c>
      <c r="S79" s="187">
        <v>1</v>
      </c>
      <c r="T79" s="194"/>
      <c r="U79" s="194"/>
      <c r="V79" s="692"/>
      <c r="W79" s="194"/>
      <c r="X79" s="674"/>
      <c r="Y79" s="688"/>
      <c r="Z79" s="187"/>
      <c r="AA79" s="187">
        <f t="shared" si="86"/>
        <v>4805</v>
      </c>
      <c r="AB79" s="187">
        <f>(R79+AA79)*S79</f>
        <v>8000</v>
      </c>
      <c r="AC79" s="689">
        <f t="shared" si="77"/>
        <v>0</v>
      </c>
      <c r="AD79" s="689">
        <f t="shared" si="57"/>
        <v>8000</v>
      </c>
      <c r="AE79" s="190">
        <f t="shared" si="58"/>
        <v>8000</v>
      </c>
      <c r="AF79" s="190">
        <f t="shared" si="78"/>
        <v>0</v>
      </c>
      <c r="AG79" s="689">
        <f t="shared" si="87"/>
        <v>8000</v>
      </c>
      <c r="AH79" s="190">
        <f t="shared" si="79"/>
        <v>4805</v>
      </c>
      <c r="AI79" s="191">
        <f t="shared" si="80"/>
        <v>3195</v>
      </c>
      <c r="AJ79" s="191">
        <f t="shared" si="88"/>
        <v>0</v>
      </c>
      <c r="AK79" s="191">
        <f t="shared" si="81"/>
        <v>3195</v>
      </c>
      <c r="AL79" s="191">
        <f t="shared" si="52"/>
        <v>0</v>
      </c>
      <c r="AM79" s="191">
        <f t="shared" si="82"/>
        <v>0</v>
      </c>
      <c r="AN79" s="191">
        <f t="shared" si="82"/>
        <v>0</v>
      </c>
      <c r="AO79" s="193">
        <f t="shared" si="83"/>
        <v>0</v>
      </c>
      <c r="AP79" s="193">
        <f t="shared" si="84"/>
        <v>0</v>
      </c>
      <c r="AQ79" s="193">
        <f t="shared" si="85"/>
        <v>4805</v>
      </c>
      <c r="AR79" s="193">
        <f t="shared" si="89"/>
        <v>0</v>
      </c>
      <c r="AS79" s="193">
        <f t="shared" si="90"/>
        <v>0</v>
      </c>
      <c r="AT79" s="197">
        <f t="shared" si="13"/>
        <v>3195</v>
      </c>
      <c r="AU79" s="197">
        <f t="shared" si="13"/>
        <v>0</v>
      </c>
      <c r="AV79" s="191"/>
      <c r="AW79" s="236">
        <f t="shared" si="91"/>
        <v>3195</v>
      </c>
      <c r="AX79" s="236"/>
      <c r="AY79" s="619"/>
      <c r="AZ79" s="619"/>
      <c r="BA79" s="619"/>
    </row>
    <row r="80" spans="2:53" s="69" customFormat="1" ht="33">
      <c r="B80" s="660">
        <f t="shared" si="92"/>
        <v>51</v>
      </c>
      <c r="C80" s="199" t="s">
        <v>1734</v>
      </c>
      <c r="D80" s="186"/>
      <c r="E80" s="660" t="s">
        <v>215</v>
      </c>
      <c r="F80" s="194">
        <v>1</v>
      </c>
      <c r="G80" s="187">
        <v>3195</v>
      </c>
      <c r="H80" s="687"/>
      <c r="I80" s="187"/>
      <c r="J80" s="687"/>
      <c r="K80" s="187"/>
      <c r="L80" s="187"/>
      <c r="M80" s="687"/>
      <c r="N80" s="187"/>
      <c r="O80" s="687"/>
      <c r="P80" s="187"/>
      <c r="Q80" s="187"/>
      <c r="R80" s="187">
        <f>G80+I80+K80+L80+N80+P80+Q80</f>
        <v>3195</v>
      </c>
      <c r="S80" s="187">
        <v>0.5</v>
      </c>
      <c r="T80" s="194"/>
      <c r="U80" s="194"/>
      <c r="V80" s="692"/>
      <c r="W80" s="194"/>
      <c r="X80" s="674"/>
      <c r="Y80" s="688"/>
      <c r="Z80" s="187"/>
      <c r="AA80" s="187">
        <f t="shared" si="86"/>
        <v>2402.5</v>
      </c>
      <c r="AB80" s="187">
        <f>R80*S80+AA80</f>
        <v>4000</v>
      </c>
      <c r="AC80" s="689">
        <f>AF80</f>
        <v>0</v>
      </c>
      <c r="AD80" s="689">
        <f>AB80+AC80</f>
        <v>4000</v>
      </c>
      <c r="AE80" s="190">
        <f>AB80</f>
        <v>4000</v>
      </c>
      <c r="AF80" s="190">
        <f>AE80-AB80</f>
        <v>0</v>
      </c>
      <c r="AG80" s="689">
        <f t="shared" si="87"/>
        <v>4000</v>
      </c>
      <c r="AH80" s="190">
        <f>AG80-(R80*S80)</f>
        <v>2402.5</v>
      </c>
      <c r="AI80" s="191">
        <f>G80*S80</f>
        <v>1597.5</v>
      </c>
      <c r="AJ80" s="191">
        <f t="shared" si="88"/>
        <v>0</v>
      </c>
      <c r="AK80" s="191">
        <f>R80*S80</f>
        <v>1597.5</v>
      </c>
      <c r="AL80" s="191">
        <f t="shared" si="52"/>
        <v>0</v>
      </c>
      <c r="AM80" s="191">
        <f>AK80-AI80</f>
        <v>0</v>
      </c>
      <c r="AN80" s="191">
        <f>AL80-AJ80</f>
        <v>0</v>
      </c>
      <c r="AO80" s="193">
        <f>Z80*S80</f>
        <v>0</v>
      </c>
      <c r="AP80" s="193">
        <f>Z80*T80</f>
        <v>0</v>
      </c>
      <c r="AQ80" s="193">
        <f>AA80</f>
        <v>2402.5</v>
      </c>
      <c r="AR80" s="193">
        <f t="shared" si="89"/>
        <v>0</v>
      </c>
      <c r="AS80" s="193">
        <f t="shared" si="90"/>
        <v>0</v>
      </c>
      <c r="AT80" s="197">
        <f t="shared" si="13"/>
        <v>1597.5</v>
      </c>
      <c r="AU80" s="197">
        <f t="shared" si="13"/>
        <v>0</v>
      </c>
      <c r="AV80" s="191"/>
      <c r="AW80" s="236">
        <f>R80*S80</f>
        <v>1597.5</v>
      </c>
      <c r="AX80" s="236"/>
      <c r="AY80" s="619"/>
      <c r="AZ80" s="619"/>
      <c r="BA80" s="619"/>
    </row>
    <row r="81" spans="2:53" s="69" customFormat="1" ht="33">
      <c r="B81" s="660">
        <f>B80+1</f>
        <v>52</v>
      </c>
      <c r="C81" s="199" t="s">
        <v>1734</v>
      </c>
      <c r="D81" s="186"/>
      <c r="E81" s="660" t="s">
        <v>1188</v>
      </c>
      <c r="F81" s="194">
        <v>1</v>
      </c>
      <c r="G81" s="187">
        <v>3195</v>
      </c>
      <c r="H81" s="687"/>
      <c r="I81" s="187"/>
      <c r="J81" s="687"/>
      <c r="K81" s="187"/>
      <c r="L81" s="187"/>
      <c r="M81" s="687"/>
      <c r="N81" s="187"/>
      <c r="O81" s="687"/>
      <c r="P81" s="187"/>
      <c r="Q81" s="187"/>
      <c r="R81" s="187">
        <f>G81+I81+K81+L81+N81+P81+Q81</f>
        <v>3195</v>
      </c>
      <c r="S81" s="187"/>
      <c r="T81" s="187">
        <v>0.5</v>
      </c>
      <c r="U81" s="194"/>
      <c r="V81" s="692"/>
      <c r="W81" s="194"/>
      <c r="X81" s="674"/>
      <c r="Y81" s="688"/>
      <c r="Z81" s="187"/>
      <c r="AA81" s="187">
        <f t="shared" si="86"/>
        <v>2402.5</v>
      </c>
      <c r="AB81" s="187">
        <f>R81*T81+AA81</f>
        <v>4000</v>
      </c>
      <c r="AC81" s="689">
        <f>AF81</f>
        <v>0</v>
      </c>
      <c r="AD81" s="689">
        <f>AB81+AC81</f>
        <v>4000</v>
      </c>
      <c r="AE81" s="190">
        <f>AB81</f>
        <v>4000</v>
      </c>
      <c r="AF81" s="190">
        <f>AE81-AB81</f>
        <v>0</v>
      </c>
      <c r="AG81" s="689">
        <f>8000*T81</f>
        <v>4000</v>
      </c>
      <c r="AH81" s="190">
        <f>AG81-(R81*T81)</f>
        <v>2402.5</v>
      </c>
      <c r="AI81" s="191"/>
      <c r="AJ81" s="191"/>
      <c r="AK81" s="191"/>
      <c r="AL81" s="191"/>
      <c r="AM81" s="191"/>
      <c r="AN81" s="191"/>
      <c r="AO81" s="193"/>
      <c r="AP81" s="193"/>
      <c r="AQ81" s="193"/>
      <c r="AR81" s="193"/>
      <c r="AS81" s="193"/>
      <c r="AT81" s="197"/>
      <c r="AU81" s="197"/>
      <c r="AV81" s="191"/>
      <c r="AW81" s="236">
        <f>R81*T81</f>
        <v>1597.5</v>
      </c>
      <c r="AX81" s="236"/>
      <c r="AY81" s="619"/>
      <c r="AZ81" s="619"/>
      <c r="BA81" s="619"/>
    </row>
    <row r="82" spans="2:53" s="69" customFormat="1" ht="33">
      <c r="B82" s="660"/>
      <c r="C82" s="201" t="s">
        <v>1773</v>
      </c>
      <c r="D82" s="186"/>
      <c r="E82" s="194"/>
      <c r="F82" s="194"/>
      <c r="G82" s="187"/>
      <c r="H82" s="687"/>
      <c r="I82" s="187"/>
      <c r="J82" s="687"/>
      <c r="K82" s="187"/>
      <c r="L82" s="187"/>
      <c r="M82" s="687"/>
      <c r="N82" s="187"/>
      <c r="O82" s="687"/>
      <c r="P82" s="187"/>
      <c r="Q82" s="187"/>
      <c r="R82" s="187"/>
      <c r="S82" s="187"/>
      <c r="T82" s="194"/>
      <c r="U82" s="194"/>
      <c r="V82" s="692"/>
      <c r="W82" s="194"/>
      <c r="X82" s="674"/>
      <c r="Y82" s="688"/>
      <c r="Z82" s="187"/>
      <c r="AA82" s="187"/>
      <c r="AB82" s="187"/>
      <c r="AC82" s="689"/>
      <c r="AD82" s="689"/>
      <c r="AE82" s="190"/>
      <c r="AF82" s="190"/>
      <c r="AG82" s="689"/>
      <c r="AH82" s="190"/>
      <c r="AI82" s="191"/>
      <c r="AJ82" s="191"/>
      <c r="AK82" s="191"/>
      <c r="AL82" s="191">
        <f t="shared" si="52"/>
        <v>0</v>
      </c>
      <c r="AM82" s="191"/>
      <c r="AN82" s="191"/>
      <c r="AO82" s="193"/>
      <c r="AP82" s="193"/>
      <c r="AQ82" s="193"/>
      <c r="AR82" s="193"/>
      <c r="AS82" s="193"/>
      <c r="AT82" s="197"/>
      <c r="AU82" s="197"/>
      <c r="AV82" s="191"/>
      <c r="AW82" s="236"/>
      <c r="AX82" s="236"/>
      <c r="AY82" s="619"/>
      <c r="AZ82" s="619"/>
      <c r="BA82" s="619"/>
    </row>
    <row r="83" spans="2:53" s="72" customFormat="1" ht="33">
      <c r="B83" s="660">
        <f>B81+1</f>
        <v>53</v>
      </c>
      <c r="C83" s="185" t="s">
        <v>1750</v>
      </c>
      <c r="D83" s="186" t="s">
        <v>216</v>
      </c>
      <c r="E83" s="660" t="s">
        <v>1188</v>
      </c>
      <c r="F83" s="660">
        <v>3</v>
      </c>
      <c r="G83" s="187">
        <v>3770</v>
      </c>
      <c r="H83" s="687"/>
      <c r="I83" s="187"/>
      <c r="J83" s="687"/>
      <c r="K83" s="187"/>
      <c r="L83" s="187"/>
      <c r="M83" s="687"/>
      <c r="N83" s="187"/>
      <c r="O83" s="687"/>
      <c r="P83" s="187"/>
      <c r="Q83" s="187"/>
      <c r="R83" s="187">
        <f>G83+I83+K83+L83+N83+P83+Q83</f>
        <v>3770</v>
      </c>
      <c r="S83" s="187">
        <v>1</v>
      </c>
      <c r="T83" s="194"/>
      <c r="U83" s="194"/>
      <c r="V83" s="692"/>
      <c r="W83" s="194"/>
      <c r="X83" s="674"/>
      <c r="Y83" s="688"/>
      <c r="Z83" s="187"/>
      <c r="AA83" s="187">
        <f>AH83</f>
        <v>4230</v>
      </c>
      <c r="AB83" s="187">
        <f>(R83+AA83)*S83</f>
        <v>8000</v>
      </c>
      <c r="AC83" s="689">
        <f>AF83</f>
        <v>0</v>
      </c>
      <c r="AD83" s="689">
        <f>AB83+AC83</f>
        <v>8000</v>
      </c>
      <c r="AE83" s="190">
        <f>AB83</f>
        <v>8000</v>
      </c>
      <c r="AF83" s="190">
        <f>AE83-AB83</f>
        <v>0</v>
      </c>
      <c r="AG83" s="689">
        <f>8000*S83</f>
        <v>8000</v>
      </c>
      <c r="AH83" s="190">
        <f>AG83-(R83*S83)</f>
        <v>4230</v>
      </c>
      <c r="AI83" s="191">
        <f>G83*S83</f>
        <v>3770</v>
      </c>
      <c r="AJ83" s="191">
        <f>G83*T83</f>
        <v>0</v>
      </c>
      <c r="AK83" s="191">
        <f>R83*S83</f>
        <v>3770</v>
      </c>
      <c r="AL83" s="191">
        <f t="shared" si="52"/>
        <v>0</v>
      </c>
      <c r="AM83" s="191">
        <f>AK83-AI83</f>
        <v>0</v>
      </c>
      <c r="AN83" s="191">
        <f>AL83-AJ83</f>
        <v>0</v>
      </c>
      <c r="AO83" s="193">
        <f>Z83*S83</f>
        <v>0</v>
      </c>
      <c r="AP83" s="193">
        <f>Z83*T83</f>
        <v>0</v>
      </c>
      <c r="AQ83" s="193">
        <f>AA83</f>
        <v>4230</v>
      </c>
      <c r="AR83" s="193">
        <f>W83*S83</f>
        <v>0</v>
      </c>
      <c r="AS83" s="193">
        <f>W83*T83</f>
        <v>0</v>
      </c>
      <c r="AT83" s="197">
        <f t="shared" si="13"/>
        <v>3770</v>
      </c>
      <c r="AU83" s="197">
        <f t="shared" si="13"/>
        <v>0</v>
      </c>
      <c r="AV83" s="191"/>
      <c r="AW83" s="236">
        <f t="shared" si="91"/>
        <v>3770</v>
      </c>
      <c r="AX83" s="236"/>
      <c r="AY83" s="619"/>
      <c r="AZ83" s="619"/>
      <c r="BA83" s="619"/>
    </row>
    <row r="84" spans="2:53" s="69" customFormat="1" ht="33">
      <c r="B84" s="660">
        <f t="shared" si="92"/>
        <v>54</v>
      </c>
      <c r="C84" s="185" t="s">
        <v>1219</v>
      </c>
      <c r="D84" s="186" t="s">
        <v>216</v>
      </c>
      <c r="E84" s="882" t="s">
        <v>217</v>
      </c>
      <c r="F84" s="660">
        <v>3</v>
      </c>
      <c r="G84" s="187">
        <v>3770</v>
      </c>
      <c r="H84" s="687"/>
      <c r="I84" s="187"/>
      <c r="J84" s="687"/>
      <c r="K84" s="187"/>
      <c r="L84" s="187"/>
      <c r="M84" s="687"/>
      <c r="N84" s="187"/>
      <c r="O84" s="687"/>
      <c r="P84" s="187"/>
      <c r="Q84" s="187"/>
      <c r="R84" s="187">
        <f t="shared" ref="R84:R92" si="93">G84+I84+K84+L84+N84+P84+Q84</f>
        <v>3770</v>
      </c>
      <c r="S84" s="187">
        <v>1</v>
      </c>
      <c r="T84" s="194"/>
      <c r="U84" s="194"/>
      <c r="V84" s="692"/>
      <c r="W84" s="194"/>
      <c r="X84" s="674"/>
      <c r="Y84" s="688"/>
      <c r="Z84" s="187"/>
      <c r="AA84" s="187">
        <f t="shared" ref="AA84:AA90" si="94">AH84</f>
        <v>4230</v>
      </c>
      <c r="AB84" s="187">
        <f t="shared" ref="AB84:AB90" si="95">(R84+AA84)*S84</f>
        <v>8000</v>
      </c>
      <c r="AC84" s="689">
        <f t="shared" ref="AC84:AC91" si="96">AF84</f>
        <v>0</v>
      </c>
      <c r="AD84" s="689">
        <f t="shared" ref="AD84:AD93" si="97">AB84+AC84</f>
        <v>8000</v>
      </c>
      <c r="AE84" s="190">
        <f t="shared" ref="AE84:AE93" si="98">AB84</f>
        <v>8000</v>
      </c>
      <c r="AF84" s="190">
        <f t="shared" ref="AF84:AF91" si="99">AE84-AB84</f>
        <v>0</v>
      </c>
      <c r="AG84" s="689">
        <f t="shared" ref="AG84:AG90" si="100">8000*S84</f>
        <v>8000</v>
      </c>
      <c r="AH84" s="190">
        <f t="shared" ref="AH84:AH92" si="101">AG84-(R84*S84)</f>
        <v>4230</v>
      </c>
      <c r="AI84" s="191">
        <f t="shared" ref="AI84:AI91" si="102">G84*S84</f>
        <v>3770</v>
      </c>
      <c r="AJ84" s="191">
        <f t="shared" ref="AJ84:AJ91" si="103">G84*T84</f>
        <v>0</v>
      </c>
      <c r="AK84" s="191">
        <f t="shared" ref="AK84:AK91" si="104">R84*S84</f>
        <v>3770</v>
      </c>
      <c r="AL84" s="191">
        <f t="shared" si="52"/>
        <v>0</v>
      </c>
      <c r="AM84" s="191">
        <f t="shared" ref="AM84:AN91" si="105">AK84-AI84</f>
        <v>0</v>
      </c>
      <c r="AN84" s="191">
        <f t="shared" si="105"/>
        <v>0</v>
      </c>
      <c r="AO84" s="193">
        <f t="shared" ref="AO84:AO91" si="106">Z84*S84</f>
        <v>0</v>
      </c>
      <c r="AP84" s="193">
        <f t="shared" ref="AP84:AP91" si="107">Z84*T84</f>
        <v>0</v>
      </c>
      <c r="AQ84" s="193">
        <f t="shared" ref="AQ84:AQ91" si="108">AA84</f>
        <v>4230</v>
      </c>
      <c r="AR84" s="193">
        <f t="shared" ref="AR84:AR93" si="109">W84*S84</f>
        <v>0</v>
      </c>
      <c r="AS84" s="193">
        <f t="shared" ref="AS84:AS93" si="110">W84*T84</f>
        <v>0</v>
      </c>
      <c r="AT84" s="197">
        <f t="shared" si="13"/>
        <v>3770</v>
      </c>
      <c r="AU84" s="197">
        <f t="shared" si="13"/>
        <v>0</v>
      </c>
      <c r="AV84" s="191"/>
      <c r="AW84" s="236">
        <f t="shared" si="91"/>
        <v>3770</v>
      </c>
      <c r="AX84" s="236"/>
      <c r="AY84" s="619"/>
      <c r="AZ84" s="619"/>
      <c r="BA84" s="619"/>
    </row>
    <row r="85" spans="2:53" s="69" customFormat="1" ht="33">
      <c r="B85" s="660">
        <f t="shared" si="92"/>
        <v>55</v>
      </c>
      <c r="C85" s="185" t="s">
        <v>1219</v>
      </c>
      <c r="D85" s="186" t="s">
        <v>216</v>
      </c>
      <c r="E85" s="882" t="s">
        <v>218</v>
      </c>
      <c r="F85" s="660">
        <v>3</v>
      </c>
      <c r="G85" s="187">
        <v>3770</v>
      </c>
      <c r="H85" s="687"/>
      <c r="I85" s="187"/>
      <c r="J85" s="687"/>
      <c r="K85" s="187"/>
      <c r="L85" s="187"/>
      <c r="M85" s="687"/>
      <c r="N85" s="187"/>
      <c r="O85" s="687"/>
      <c r="P85" s="187"/>
      <c r="Q85" s="187"/>
      <c r="R85" s="187">
        <f t="shared" si="93"/>
        <v>3770</v>
      </c>
      <c r="S85" s="187">
        <v>1</v>
      </c>
      <c r="T85" s="194"/>
      <c r="U85" s="194"/>
      <c r="V85" s="692"/>
      <c r="W85" s="194"/>
      <c r="X85" s="674"/>
      <c r="Y85" s="688"/>
      <c r="Z85" s="187"/>
      <c r="AA85" s="187">
        <f t="shared" si="94"/>
        <v>4230</v>
      </c>
      <c r="AB85" s="187">
        <f t="shared" si="95"/>
        <v>8000</v>
      </c>
      <c r="AC85" s="689">
        <f t="shared" si="96"/>
        <v>0</v>
      </c>
      <c r="AD85" s="689">
        <f t="shared" si="97"/>
        <v>8000</v>
      </c>
      <c r="AE85" s="190">
        <f t="shared" si="98"/>
        <v>8000</v>
      </c>
      <c r="AF85" s="190">
        <f t="shared" si="99"/>
        <v>0</v>
      </c>
      <c r="AG85" s="689">
        <f t="shared" si="100"/>
        <v>8000</v>
      </c>
      <c r="AH85" s="190">
        <f t="shared" si="101"/>
        <v>4230</v>
      </c>
      <c r="AI85" s="191">
        <f t="shared" si="102"/>
        <v>3770</v>
      </c>
      <c r="AJ85" s="191">
        <f t="shared" si="103"/>
        <v>0</v>
      </c>
      <c r="AK85" s="191">
        <f t="shared" si="104"/>
        <v>3770</v>
      </c>
      <c r="AL85" s="191">
        <f t="shared" si="52"/>
        <v>0</v>
      </c>
      <c r="AM85" s="191">
        <f t="shared" si="105"/>
        <v>0</v>
      </c>
      <c r="AN85" s="191">
        <f t="shared" si="105"/>
        <v>0</v>
      </c>
      <c r="AO85" s="193">
        <f t="shared" si="106"/>
        <v>0</v>
      </c>
      <c r="AP85" s="193">
        <f t="shared" si="107"/>
        <v>0</v>
      </c>
      <c r="AQ85" s="193">
        <f t="shared" si="108"/>
        <v>4230</v>
      </c>
      <c r="AR85" s="193">
        <f t="shared" si="109"/>
        <v>0</v>
      </c>
      <c r="AS85" s="193">
        <f t="shared" si="110"/>
        <v>0</v>
      </c>
      <c r="AT85" s="197">
        <f t="shared" si="13"/>
        <v>3770</v>
      </c>
      <c r="AU85" s="197">
        <f t="shared" si="13"/>
        <v>0</v>
      </c>
      <c r="AV85" s="191"/>
      <c r="AW85" s="236">
        <f t="shared" si="91"/>
        <v>3770</v>
      </c>
      <c r="AX85" s="236"/>
      <c r="AY85" s="619"/>
      <c r="AZ85" s="619"/>
      <c r="BA85" s="619"/>
    </row>
    <row r="86" spans="2:53" s="69" customFormat="1" ht="33">
      <c r="B86" s="660">
        <f t="shared" si="92"/>
        <v>56</v>
      </c>
      <c r="C86" s="185" t="s">
        <v>1219</v>
      </c>
      <c r="D86" s="186" t="s">
        <v>216</v>
      </c>
      <c r="E86" s="882" t="s">
        <v>219</v>
      </c>
      <c r="F86" s="660">
        <v>3</v>
      </c>
      <c r="G86" s="187">
        <v>3770</v>
      </c>
      <c r="H86" s="687"/>
      <c r="I86" s="187"/>
      <c r="J86" s="687"/>
      <c r="K86" s="187"/>
      <c r="L86" s="187"/>
      <c r="M86" s="687"/>
      <c r="N86" s="187"/>
      <c r="O86" s="687"/>
      <c r="P86" s="187"/>
      <c r="Q86" s="187"/>
      <c r="R86" s="187">
        <f t="shared" si="93"/>
        <v>3770</v>
      </c>
      <c r="S86" s="187">
        <v>1</v>
      </c>
      <c r="T86" s="194"/>
      <c r="U86" s="194"/>
      <c r="V86" s="692"/>
      <c r="W86" s="194"/>
      <c r="X86" s="674"/>
      <c r="Y86" s="688"/>
      <c r="Z86" s="187"/>
      <c r="AA86" s="187">
        <f t="shared" si="94"/>
        <v>4230</v>
      </c>
      <c r="AB86" s="187">
        <f t="shared" si="95"/>
        <v>8000</v>
      </c>
      <c r="AC86" s="689">
        <f t="shared" si="96"/>
        <v>0</v>
      </c>
      <c r="AD86" s="689">
        <f t="shared" si="97"/>
        <v>8000</v>
      </c>
      <c r="AE86" s="190">
        <f t="shared" si="98"/>
        <v>8000</v>
      </c>
      <c r="AF86" s="190">
        <f t="shared" si="99"/>
        <v>0</v>
      </c>
      <c r="AG86" s="689">
        <f t="shared" si="100"/>
        <v>8000</v>
      </c>
      <c r="AH86" s="190">
        <f t="shared" si="101"/>
        <v>4230</v>
      </c>
      <c r="AI86" s="191">
        <f t="shared" si="102"/>
        <v>3770</v>
      </c>
      <c r="AJ86" s="191">
        <f t="shared" si="103"/>
        <v>0</v>
      </c>
      <c r="AK86" s="191">
        <f t="shared" si="104"/>
        <v>3770</v>
      </c>
      <c r="AL86" s="191">
        <f t="shared" si="52"/>
        <v>0</v>
      </c>
      <c r="AM86" s="191">
        <f t="shared" si="105"/>
        <v>0</v>
      </c>
      <c r="AN86" s="191">
        <f t="shared" si="105"/>
        <v>0</v>
      </c>
      <c r="AO86" s="193">
        <f t="shared" si="106"/>
        <v>0</v>
      </c>
      <c r="AP86" s="193">
        <f t="shared" si="107"/>
        <v>0</v>
      </c>
      <c r="AQ86" s="193">
        <f t="shared" si="108"/>
        <v>4230</v>
      </c>
      <c r="AR86" s="193">
        <f t="shared" si="109"/>
        <v>0</v>
      </c>
      <c r="AS86" s="193">
        <f t="shared" si="110"/>
        <v>0</v>
      </c>
      <c r="AT86" s="197">
        <f t="shared" ref="AT86:AU162" si="111">AK86</f>
        <v>3770</v>
      </c>
      <c r="AU86" s="197">
        <f t="shared" si="111"/>
        <v>0</v>
      </c>
      <c r="AV86" s="191"/>
      <c r="AW86" s="236">
        <f t="shared" si="91"/>
        <v>3770</v>
      </c>
      <c r="AX86" s="236"/>
      <c r="AY86" s="619"/>
      <c r="AZ86" s="619"/>
      <c r="BA86" s="619"/>
    </row>
    <row r="87" spans="2:53" s="69" customFormat="1" ht="45.75" customHeight="1">
      <c r="B87" s="660">
        <f t="shared" si="92"/>
        <v>57</v>
      </c>
      <c r="C87" s="185" t="s">
        <v>1219</v>
      </c>
      <c r="D87" s="186" t="s">
        <v>216</v>
      </c>
      <c r="E87" s="882" t="s">
        <v>220</v>
      </c>
      <c r="F87" s="660">
        <v>3</v>
      </c>
      <c r="G87" s="187">
        <v>3770</v>
      </c>
      <c r="H87" s="687"/>
      <c r="I87" s="187"/>
      <c r="J87" s="687"/>
      <c r="K87" s="187"/>
      <c r="L87" s="187"/>
      <c r="M87" s="687"/>
      <c r="N87" s="187"/>
      <c r="O87" s="687"/>
      <c r="P87" s="187"/>
      <c r="Q87" s="187"/>
      <c r="R87" s="187">
        <f t="shared" si="93"/>
        <v>3770</v>
      </c>
      <c r="S87" s="187">
        <v>1</v>
      </c>
      <c r="T87" s="194"/>
      <c r="U87" s="194"/>
      <c r="V87" s="692"/>
      <c r="W87" s="194"/>
      <c r="X87" s="674"/>
      <c r="Y87" s="688"/>
      <c r="Z87" s="187"/>
      <c r="AA87" s="187">
        <f t="shared" si="94"/>
        <v>4230</v>
      </c>
      <c r="AB87" s="187">
        <f t="shared" si="95"/>
        <v>8000</v>
      </c>
      <c r="AC87" s="689">
        <f t="shared" si="96"/>
        <v>0</v>
      </c>
      <c r="AD87" s="689">
        <f t="shared" si="97"/>
        <v>8000</v>
      </c>
      <c r="AE87" s="190">
        <f t="shared" si="98"/>
        <v>8000</v>
      </c>
      <c r="AF87" s="190">
        <f t="shared" si="99"/>
        <v>0</v>
      </c>
      <c r="AG87" s="689">
        <f t="shared" si="100"/>
        <v>8000</v>
      </c>
      <c r="AH87" s="190">
        <f t="shared" si="101"/>
        <v>4230</v>
      </c>
      <c r="AI87" s="191">
        <f t="shared" si="102"/>
        <v>3770</v>
      </c>
      <c r="AJ87" s="191">
        <f t="shared" si="103"/>
        <v>0</v>
      </c>
      <c r="AK87" s="191">
        <f t="shared" si="104"/>
        <v>3770</v>
      </c>
      <c r="AL87" s="191">
        <f t="shared" si="52"/>
        <v>0</v>
      </c>
      <c r="AM87" s="191">
        <f t="shared" si="105"/>
        <v>0</v>
      </c>
      <c r="AN87" s="191">
        <f t="shared" si="105"/>
        <v>0</v>
      </c>
      <c r="AO87" s="193">
        <f t="shared" si="106"/>
        <v>0</v>
      </c>
      <c r="AP87" s="193">
        <f t="shared" si="107"/>
        <v>0</v>
      </c>
      <c r="AQ87" s="193">
        <f t="shared" si="108"/>
        <v>4230</v>
      </c>
      <c r="AR87" s="193">
        <f t="shared" si="109"/>
        <v>0</v>
      </c>
      <c r="AS87" s="193">
        <f t="shared" si="110"/>
        <v>0</v>
      </c>
      <c r="AT87" s="197">
        <f t="shared" si="111"/>
        <v>3770</v>
      </c>
      <c r="AU87" s="197">
        <f t="shared" si="111"/>
        <v>0</v>
      </c>
      <c r="AV87" s="191"/>
      <c r="AW87" s="236">
        <f t="shared" si="91"/>
        <v>3770</v>
      </c>
      <c r="AX87" s="236"/>
      <c r="AY87" s="619"/>
      <c r="AZ87" s="619"/>
      <c r="BA87" s="619"/>
    </row>
    <row r="88" spans="2:53" s="69" customFormat="1" ht="33">
      <c r="B88" s="660">
        <f t="shared" si="92"/>
        <v>58</v>
      </c>
      <c r="C88" s="185" t="s">
        <v>1219</v>
      </c>
      <c r="D88" s="186" t="s">
        <v>216</v>
      </c>
      <c r="E88" s="882" t="s">
        <v>221</v>
      </c>
      <c r="F88" s="660">
        <v>3</v>
      </c>
      <c r="G88" s="187">
        <v>3770</v>
      </c>
      <c r="H88" s="687"/>
      <c r="I88" s="187"/>
      <c r="J88" s="687"/>
      <c r="K88" s="187"/>
      <c r="L88" s="187"/>
      <c r="M88" s="687"/>
      <c r="N88" s="187"/>
      <c r="O88" s="687"/>
      <c r="P88" s="187"/>
      <c r="Q88" s="187"/>
      <c r="R88" s="187">
        <f t="shared" si="93"/>
        <v>3770</v>
      </c>
      <c r="S88" s="187">
        <v>1</v>
      </c>
      <c r="T88" s="194"/>
      <c r="U88" s="194"/>
      <c r="V88" s="692"/>
      <c r="W88" s="194"/>
      <c r="X88" s="674"/>
      <c r="Y88" s="688"/>
      <c r="Z88" s="187"/>
      <c r="AA88" s="187">
        <f t="shared" si="94"/>
        <v>4230</v>
      </c>
      <c r="AB88" s="187">
        <f t="shared" si="95"/>
        <v>8000</v>
      </c>
      <c r="AC88" s="689">
        <f t="shared" si="96"/>
        <v>0</v>
      </c>
      <c r="AD88" s="689">
        <f t="shared" si="97"/>
        <v>8000</v>
      </c>
      <c r="AE88" s="190">
        <f t="shared" si="98"/>
        <v>8000</v>
      </c>
      <c r="AF88" s="190">
        <f t="shared" si="99"/>
        <v>0</v>
      </c>
      <c r="AG88" s="689">
        <f t="shared" si="100"/>
        <v>8000</v>
      </c>
      <c r="AH88" s="190">
        <f t="shared" si="101"/>
        <v>4230</v>
      </c>
      <c r="AI88" s="191">
        <f t="shared" si="102"/>
        <v>3770</v>
      </c>
      <c r="AJ88" s="191">
        <f t="shared" si="103"/>
        <v>0</v>
      </c>
      <c r="AK88" s="191">
        <f t="shared" si="104"/>
        <v>3770</v>
      </c>
      <c r="AL88" s="191">
        <f t="shared" si="52"/>
        <v>0</v>
      </c>
      <c r="AM88" s="191">
        <f t="shared" si="105"/>
        <v>0</v>
      </c>
      <c r="AN88" s="191">
        <f t="shared" si="105"/>
        <v>0</v>
      </c>
      <c r="AO88" s="193">
        <f t="shared" si="106"/>
        <v>0</v>
      </c>
      <c r="AP88" s="193">
        <f t="shared" si="107"/>
        <v>0</v>
      </c>
      <c r="AQ88" s="193">
        <f t="shared" si="108"/>
        <v>4230</v>
      </c>
      <c r="AR88" s="193">
        <f t="shared" si="109"/>
        <v>0</v>
      </c>
      <c r="AS88" s="193">
        <f t="shared" si="110"/>
        <v>0</v>
      </c>
      <c r="AT88" s="197">
        <f t="shared" si="111"/>
        <v>3770</v>
      </c>
      <c r="AU88" s="197">
        <f t="shared" si="111"/>
        <v>0</v>
      </c>
      <c r="AV88" s="191"/>
      <c r="AW88" s="236">
        <f t="shared" si="91"/>
        <v>3770</v>
      </c>
      <c r="AX88" s="236"/>
      <c r="AY88" s="619"/>
      <c r="AZ88" s="619"/>
      <c r="BA88" s="619"/>
    </row>
    <row r="89" spans="2:53" s="69" customFormat="1" ht="33">
      <c r="B89" s="660">
        <f t="shared" si="92"/>
        <v>59</v>
      </c>
      <c r="C89" s="185" t="s">
        <v>1219</v>
      </c>
      <c r="D89" s="186" t="s">
        <v>216</v>
      </c>
      <c r="E89" s="882" t="s">
        <v>222</v>
      </c>
      <c r="F89" s="660">
        <v>3</v>
      </c>
      <c r="G89" s="187">
        <v>3770</v>
      </c>
      <c r="H89" s="687"/>
      <c r="I89" s="187"/>
      <c r="J89" s="687"/>
      <c r="K89" s="187"/>
      <c r="L89" s="187"/>
      <c r="M89" s="687"/>
      <c r="N89" s="187"/>
      <c r="O89" s="687"/>
      <c r="P89" s="187"/>
      <c r="Q89" s="187"/>
      <c r="R89" s="187">
        <f t="shared" si="93"/>
        <v>3770</v>
      </c>
      <c r="S89" s="187">
        <v>1</v>
      </c>
      <c r="T89" s="194"/>
      <c r="U89" s="194"/>
      <c r="V89" s="692"/>
      <c r="W89" s="194"/>
      <c r="X89" s="674"/>
      <c r="Y89" s="688"/>
      <c r="Z89" s="187"/>
      <c r="AA89" s="187">
        <f t="shared" si="94"/>
        <v>4230</v>
      </c>
      <c r="AB89" s="187">
        <f t="shared" si="95"/>
        <v>8000</v>
      </c>
      <c r="AC89" s="689">
        <f t="shared" si="96"/>
        <v>0</v>
      </c>
      <c r="AD89" s="689">
        <f t="shared" si="97"/>
        <v>8000</v>
      </c>
      <c r="AE89" s="190">
        <f t="shared" si="98"/>
        <v>8000</v>
      </c>
      <c r="AF89" s="190">
        <f t="shared" si="99"/>
        <v>0</v>
      </c>
      <c r="AG89" s="689">
        <f t="shared" si="100"/>
        <v>8000</v>
      </c>
      <c r="AH89" s="190">
        <f t="shared" si="101"/>
        <v>4230</v>
      </c>
      <c r="AI89" s="191">
        <f t="shared" si="102"/>
        <v>3770</v>
      </c>
      <c r="AJ89" s="191">
        <f t="shared" si="103"/>
        <v>0</v>
      </c>
      <c r="AK89" s="191">
        <f t="shared" si="104"/>
        <v>3770</v>
      </c>
      <c r="AL89" s="191">
        <f t="shared" si="52"/>
        <v>0</v>
      </c>
      <c r="AM89" s="191">
        <f t="shared" si="105"/>
        <v>0</v>
      </c>
      <c r="AN89" s="191">
        <f t="shared" si="105"/>
        <v>0</v>
      </c>
      <c r="AO89" s="193">
        <f t="shared" si="106"/>
        <v>0</v>
      </c>
      <c r="AP89" s="193">
        <f t="shared" si="107"/>
        <v>0</v>
      </c>
      <c r="AQ89" s="193">
        <f t="shared" si="108"/>
        <v>4230</v>
      </c>
      <c r="AR89" s="193">
        <f t="shared" si="109"/>
        <v>0</v>
      </c>
      <c r="AS89" s="193">
        <f t="shared" si="110"/>
        <v>0</v>
      </c>
      <c r="AT89" s="197">
        <f t="shared" si="111"/>
        <v>3770</v>
      </c>
      <c r="AU89" s="197">
        <f t="shared" si="111"/>
        <v>0</v>
      </c>
      <c r="AV89" s="191"/>
      <c r="AW89" s="236">
        <f t="shared" si="91"/>
        <v>3770</v>
      </c>
      <c r="AX89" s="236"/>
      <c r="AY89" s="619"/>
      <c r="AZ89" s="619"/>
      <c r="BA89" s="619"/>
    </row>
    <row r="90" spans="2:53" s="71" customFormat="1" ht="33">
      <c r="B90" s="660">
        <f t="shared" si="92"/>
        <v>60</v>
      </c>
      <c r="C90" s="185" t="s">
        <v>1219</v>
      </c>
      <c r="D90" s="186" t="s">
        <v>216</v>
      </c>
      <c r="E90" s="882" t="s">
        <v>223</v>
      </c>
      <c r="F90" s="660">
        <v>3</v>
      </c>
      <c r="G90" s="187">
        <v>3770</v>
      </c>
      <c r="H90" s="687"/>
      <c r="I90" s="187"/>
      <c r="J90" s="687"/>
      <c r="K90" s="187"/>
      <c r="L90" s="187"/>
      <c r="M90" s="687"/>
      <c r="N90" s="187"/>
      <c r="O90" s="687"/>
      <c r="P90" s="187"/>
      <c r="Q90" s="187"/>
      <c r="R90" s="187">
        <f t="shared" si="93"/>
        <v>3770</v>
      </c>
      <c r="S90" s="187">
        <v>1</v>
      </c>
      <c r="T90" s="194"/>
      <c r="U90" s="194"/>
      <c r="V90" s="692"/>
      <c r="W90" s="194"/>
      <c r="X90" s="674"/>
      <c r="Y90" s="688"/>
      <c r="Z90" s="187"/>
      <c r="AA90" s="187">
        <f t="shared" si="94"/>
        <v>4230</v>
      </c>
      <c r="AB90" s="187">
        <f t="shared" si="95"/>
        <v>8000</v>
      </c>
      <c r="AC90" s="689">
        <f t="shared" si="96"/>
        <v>0</v>
      </c>
      <c r="AD90" s="689">
        <f t="shared" si="97"/>
        <v>8000</v>
      </c>
      <c r="AE90" s="190">
        <f t="shared" si="98"/>
        <v>8000</v>
      </c>
      <c r="AF90" s="190">
        <f t="shared" si="99"/>
        <v>0</v>
      </c>
      <c r="AG90" s="689">
        <f t="shared" si="100"/>
        <v>8000</v>
      </c>
      <c r="AH90" s="190">
        <f>AG90-(R90*S90)</f>
        <v>4230</v>
      </c>
      <c r="AI90" s="191">
        <f t="shared" si="102"/>
        <v>3770</v>
      </c>
      <c r="AJ90" s="191">
        <f t="shared" si="103"/>
        <v>0</v>
      </c>
      <c r="AK90" s="191">
        <f t="shared" si="104"/>
        <v>3770</v>
      </c>
      <c r="AL90" s="191">
        <f t="shared" si="52"/>
        <v>0</v>
      </c>
      <c r="AM90" s="191">
        <f t="shared" si="105"/>
        <v>0</v>
      </c>
      <c r="AN90" s="191">
        <f t="shared" si="105"/>
        <v>0</v>
      </c>
      <c r="AO90" s="193">
        <f t="shared" si="106"/>
        <v>0</v>
      </c>
      <c r="AP90" s="193">
        <f t="shared" si="107"/>
        <v>0</v>
      </c>
      <c r="AQ90" s="193">
        <f t="shared" si="108"/>
        <v>4230</v>
      </c>
      <c r="AR90" s="193">
        <f t="shared" si="109"/>
        <v>0</v>
      </c>
      <c r="AS90" s="193">
        <f t="shared" si="110"/>
        <v>0</v>
      </c>
      <c r="AT90" s="197">
        <f t="shared" si="111"/>
        <v>3770</v>
      </c>
      <c r="AU90" s="197">
        <f t="shared" si="111"/>
        <v>0</v>
      </c>
      <c r="AV90" s="191"/>
      <c r="AW90" s="236">
        <f t="shared" si="91"/>
        <v>3770</v>
      </c>
      <c r="AX90" s="236"/>
      <c r="AY90" s="619"/>
      <c r="AZ90" s="619"/>
      <c r="BA90" s="619"/>
    </row>
    <row r="91" spans="2:53" s="72" customFormat="1" ht="33">
      <c r="B91" s="660">
        <f t="shared" si="92"/>
        <v>61</v>
      </c>
      <c r="C91" s="185" t="s">
        <v>1219</v>
      </c>
      <c r="D91" s="186" t="s">
        <v>216</v>
      </c>
      <c r="E91" s="882" t="s">
        <v>224</v>
      </c>
      <c r="F91" s="660">
        <v>3</v>
      </c>
      <c r="G91" s="187">
        <v>3770</v>
      </c>
      <c r="H91" s="687"/>
      <c r="I91" s="187"/>
      <c r="J91" s="687"/>
      <c r="K91" s="187"/>
      <c r="L91" s="187"/>
      <c r="M91" s="687"/>
      <c r="N91" s="187"/>
      <c r="O91" s="687"/>
      <c r="P91" s="187"/>
      <c r="Q91" s="187"/>
      <c r="R91" s="187">
        <f t="shared" si="93"/>
        <v>3770</v>
      </c>
      <c r="S91" s="187">
        <v>1</v>
      </c>
      <c r="T91" s="194"/>
      <c r="U91" s="194"/>
      <c r="V91" s="692"/>
      <c r="W91" s="194"/>
      <c r="X91" s="674"/>
      <c r="Y91" s="688"/>
      <c r="Z91" s="187"/>
      <c r="AA91" s="187">
        <f>AH91</f>
        <v>4230</v>
      </c>
      <c r="AB91" s="187">
        <f>(R91+AA91)*S91</f>
        <v>8000</v>
      </c>
      <c r="AC91" s="689">
        <f t="shared" si="96"/>
        <v>0</v>
      </c>
      <c r="AD91" s="689">
        <f t="shared" si="97"/>
        <v>8000</v>
      </c>
      <c r="AE91" s="190">
        <f t="shared" si="98"/>
        <v>8000</v>
      </c>
      <c r="AF91" s="190">
        <f t="shared" si="99"/>
        <v>0</v>
      </c>
      <c r="AG91" s="689">
        <f>8000*S91</f>
        <v>8000</v>
      </c>
      <c r="AH91" s="190">
        <f t="shared" si="101"/>
        <v>4230</v>
      </c>
      <c r="AI91" s="191">
        <f t="shared" si="102"/>
        <v>3770</v>
      </c>
      <c r="AJ91" s="191">
        <f t="shared" si="103"/>
        <v>0</v>
      </c>
      <c r="AK91" s="191">
        <f t="shared" si="104"/>
        <v>3770</v>
      </c>
      <c r="AL91" s="191">
        <f>R91*T91</f>
        <v>0</v>
      </c>
      <c r="AM91" s="191">
        <f t="shared" si="105"/>
        <v>0</v>
      </c>
      <c r="AN91" s="191">
        <f t="shared" si="105"/>
        <v>0</v>
      </c>
      <c r="AO91" s="193">
        <f t="shared" si="106"/>
        <v>0</v>
      </c>
      <c r="AP91" s="193">
        <f t="shared" si="107"/>
        <v>0</v>
      </c>
      <c r="AQ91" s="193">
        <f t="shared" si="108"/>
        <v>4230</v>
      </c>
      <c r="AR91" s="193">
        <f t="shared" si="109"/>
        <v>0</v>
      </c>
      <c r="AS91" s="193">
        <f t="shared" si="110"/>
        <v>0</v>
      </c>
      <c r="AT91" s="197">
        <f t="shared" si="111"/>
        <v>3770</v>
      </c>
      <c r="AU91" s="197">
        <f t="shared" si="111"/>
        <v>0</v>
      </c>
      <c r="AV91" s="191"/>
      <c r="AW91" s="236">
        <f t="shared" si="91"/>
        <v>3770</v>
      </c>
      <c r="AX91" s="236"/>
      <c r="AY91" s="619"/>
      <c r="AZ91" s="619"/>
      <c r="BA91" s="619"/>
    </row>
    <row r="92" spans="2:53" s="69" customFormat="1" ht="33">
      <c r="B92" s="660">
        <f t="shared" si="92"/>
        <v>62</v>
      </c>
      <c r="C92" s="185" t="s">
        <v>1219</v>
      </c>
      <c r="D92" s="186" t="s">
        <v>216</v>
      </c>
      <c r="E92" s="660" t="s">
        <v>1667</v>
      </c>
      <c r="F92" s="660">
        <v>3</v>
      </c>
      <c r="G92" s="187">
        <v>3770</v>
      </c>
      <c r="H92" s="687"/>
      <c r="I92" s="187"/>
      <c r="J92" s="687"/>
      <c r="K92" s="187"/>
      <c r="L92" s="187"/>
      <c r="M92" s="687"/>
      <c r="N92" s="187"/>
      <c r="O92" s="687"/>
      <c r="P92" s="187"/>
      <c r="Q92" s="187"/>
      <c r="R92" s="187">
        <f t="shared" si="93"/>
        <v>3770</v>
      </c>
      <c r="S92" s="187">
        <v>1</v>
      </c>
      <c r="T92" s="187"/>
      <c r="U92" s="194"/>
      <c r="V92" s="692"/>
      <c r="W92" s="194"/>
      <c r="X92" s="674"/>
      <c r="Y92" s="688"/>
      <c r="Z92" s="187"/>
      <c r="AA92" s="187">
        <f>AH92</f>
        <v>4230</v>
      </c>
      <c r="AB92" s="187">
        <f>(R92+AA92)*S92</f>
        <v>8000</v>
      </c>
      <c r="AC92" s="689">
        <f>AF92</f>
        <v>0</v>
      </c>
      <c r="AD92" s="689">
        <f t="shared" si="97"/>
        <v>8000</v>
      </c>
      <c r="AE92" s="190">
        <f t="shared" si="98"/>
        <v>8000</v>
      </c>
      <c r="AF92" s="190">
        <f>AE92-AB92</f>
        <v>0</v>
      </c>
      <c r="AG92" s="689">
        <f>8000*S92</f>
        <v>8000</v>
      </c>
      <c r="AH92" s="190">
        <f t="shared" si="101"/>
        <v>4230</v>
      </c>
      <c r="AI92" s="191">
        <f>G92*S92</f>
        <v>3770</v>
      </c>
      <c r="AJ92" s="191">
        <f>G92*T92</f>
        <v>0</v>
      </c>
      <c r="AK92" s="191">
        <f>R92*S92</f>
        <v>3770</v>
      </c>
      <c r="AL92" s="191">
        <f t="shared" si="52"/>
        <v>0</v>
      </c>
      <c r="AM92" s="191">
        <f>AK92-AI92</f>
        <v>0</v>
      </c>
      <c r="AN92" s="191">
        <f>AL92-AJ92</f>
        <v>0</v>
      </c>
      <c r="AO92" s="193">
        <f>Z92*S92</f>
        <v>0</v>
      </c>
      <c r="AP92" s="193">
        <f>Z92*T92</f>
        <v>0</v>
      </c>
      <c r="AQ92" s="193">
        <f>AA92</f>
        <v>4230</v>
      </c>
      <c r="AR92" s="193">
        <f t="shared" si="109"/>
        <v>0</v>
      </c>
      <c r="AS92" s="193">
        <f t="shared" si="110"/>
        <v>0</v>
      </c>
      <c r="AT92" s="197">
        <f t="shared" si="111"/>
        <v>3770</v>
      </c>
      <c r="AU92" s="197">
        <f t="shared" si="111"/>
        <v>0</v>
      </c>
      <c r="AV92" s="191"/>
      <c r="AW92" s="236">
        <f>R92*T92</f>
        <v>0</v>
      </c>
      <c r="AX92" s="236"/>
      <c r="AY92" s="619"/>
      <c r="AZ92" s="619"/>
      <c r="BA92" s="619"/>
    </row>
    <row r="93" spans="2:53" s="69" customFormat="1" ht="33">
      <c r="B93" s="660"/>
      <c r="C93" s="185" t="s">
        <v>1219</v>
      </c>
      <c r="D93" s="186"/>
      <c r="E93" s="660" t="s">
        <v>1667</v>
      </c>
      <c r="F93" s="660">
        <v>3</v>
      </c>
      <c r="G93" s="187"/>
      <c r="H93" s="687"/>
      <c r="I93" s="187"/>
      <c r="J93" s="687"/>
      <c r="K93" s="187"/>
      <c r="L93" s="187"/>
      <c r="M93" s="687"/>
      <c r="N93" s="187"/>
      <c r="O93" s="687"/>
      <c r="P93" s="187"/>
      <c r="Q93" s="187"/>
      <c r="R93" s="187"/>
      <c r="S93" s="187"/>
      <c r="T93" s="187"/>
      <c r="U93" s="194"/>
      <c r="V93" s="692"/>
      <c r="W93" s="194"/>
      <c r="X93" s="674"/>
      <c r="Y93" s="688"/>
      <c r="Z93" s="187"/>
      <c r="AA93" s="187">
        <f>AH93</f>
        <v>0</v>
      </c>
      <c r="AB93" s="187">
        <f>(R93+Z93+U93+W93)*T93+AA93</f>
        <v>0</v>
      </c>
      <c r="AC93" s="689">
        <f>AF93</f>
        <v>0</v>
      </c>
      <c r="AD93" s="689">
        <f t="shared" si="97"/>
        <v>0</v>
      </c>
      <c r="AE93" s="190">
        <f t="shared" si="98"/>
        <v>0</v>
      </c>
      <c r="AF93" s="190">
        <f>AE93-AB93</f>
        <v>0</v>
      </c>
      <c r="AG93" s="689">
        <f>8000*T93</f>
        <v>0</v>
      </c>
      <c r="AH93" s="190">
        <f>AG93-(R93*T93)</f>
        <v>0</v>
      </c>
      <c r="AI93" s="191">
        <f>G93*S93</f>
        <v>0</v>
      </c>
      <c r="AJ93" s="191">
        <f>G93*T93</f>
        <v>0</v>
      </c>
      <c r="AK93" s="191">
        <f>R93*S93</f>
        <v>0</v>
      </c>
      <c r="AL93" s="191">
        <f t="shared" si="52"/>
        <v>0</v>
      </c>
      <c r="AM93" s="191">
        <f>AK93-AI93</f>
        <v>0</v>
      </c>
      <c r="AN93" s="191">
        <f>AL93-AJ93</f>
        <v>0</v>
      </c>
      <c r="AO93" s="193">
        <f>Z93*S93</f>
        <v>0</v>
      </c>
      <c r="AP93" s="193">
        <f>Z93*T93</f>
        <v>0</v>
      </c>
      <c r="AQ93" s="193">
        <f>AA93</f>
        <v>0</v>
      </c>
      <c r="AR93" s="193">
        <f t="shared" si="109"/>
        <v>0</v>
      </c>
      <c r="AS93" s="193">
        <f t="shared" si="110"/>
        <v>0</v>
      </c>
      <c r="AT93" s="197">
        <f t="shared" si="111"/>
        <v>0</v>
      </c>
      <c r="AU93" s="197">
        <f t="shared" si="111"/>
        <v>0</v>
      </c>
      <c r="AV93" s="191"/>
      <c r="AW93" s="236">
        <f>R93*T93</f>
        <v>0</v>
      </c>
      <c r="AX93" s="236"/>
      <c r="AY93" s="619"/>
      <c r="AZ93" s="619"/>
      <c r="BA93" s="619"/>
    </row>
    <row r="94" spans="2:53" s="71" customFormat="1" ht="31.5">
      <c r="B94" s="660"/>
      <c r="C94" s="202" t="s">
        <v>1223</v>
      </c>
      <c r="D94" s="180"/>
      <c r="E94" s="179"/>
      <c r="F94" s="179"/>
      <c r="G94" s="203">
        <f>SUM(G48:G93)</f>
        <v>150517</v>
      </c>
      <c r="H94" s="694"/>
      <c r="I94" s="198"/>
      <c r="J94" s="694"/>
      <c r="K94" s="198"/>
      <c r="L94" s="198"/>
      <c r="M94" s="694"/>
      <c r="N94" s="198"/>
      <c r="O94" s="694"/>
      <c r="P94" s="198"/>
      <c r="Q94" s="198"/>
      <c r="R94" s="198">
        <f>SUM(R48:R93)</f>
        <v>155156.20000000001</v>
      </c>
      <c r="S94" s="198">
        <f>SUM(S48:S93)</f>
        <v>33</v>
      </c>
      <c r="T94" s="198">
        <f>SUM(T48:T93)</f>
        <v>2.5</v>
      </c>
      <c r="U94" s="198"/>
      <c r="V94" s="694"/>
      <c r="W94" s="198">
        <f>SUM(W48:W93)</f>
        <v>1278</v>
      </c>
      <c r="X94" s="694"/>
      <c r="Y94" s="694"/>
      <c r="Z94" s="198"/>
      <c r="AA94" s="198">
        <f>SUM(AA48:AA93)</f>
        <v>143342.6</v>
      </c>
      <c r="AB94" s="198">
        <f>SUM(AB48:AB93)</f>
        <v>285278</v>
      </c>
      <c r="AC94" s="198">
        <f>SUM(AC48:AC93)</f>
        <v>0</v>
      </c>
      <c r="AD94" s="198">
        <f>SUM(AD48:AD93)</f>
        <v>285278</v>
      </c>
      <c r="AE94" s="198">
        <f t="shared" ref="AE94:AV94" si="112">SUM(AE48:AE93)</f>
        <v>285278</v>
      </c>
      <c r="AF94" s="198">
        <f t="shared" si="112"/>
        <v>0</v>
      </c>
      <c r="AG94" s="198">
        <f>SUM(AG48:AG93)</f>
        <v>284000</v>
      </c>
      <c r="AH94" s="198">
        <f t="shared" si="112"/>
        <v>143342.6</v>
      </c>
      <c r="AI94" s="198">
        <f t="shared" si="112"/>
        <v>121665.5</v>
      </c>
      <c r="AJ94" s="198">
        <f t="shared" si="112"/>
        <v>7971.5</v>
      </c>
      <c r="AK94" s="198">
        <f t="shared" si="112"/>
        <v>126247.1</v>
      </c>
      <c r="AL94" s="198">
        <f t="shared" si="112"/>
        <v>9131.2999999999993</v>
      </c>
      <c r="AM94" s="198">
        <f t="shared" si="112"/>
        <v>4581.6000000000004</v>
      </c>
      <c r="AN94" s="198">
        <f t="shared" si="112"/>
        <v>1159.8000000000002</v>
      </c>
      <c r="AO94" s="198">
        <f t="shared" si="112"/>
        <v>0</v>
      </c>
      <c r="AP94" s="198">
        <f t="shared" si="112"/>
        <v>0</v>
      </c>
      <c r="AQ94" s="198">
        <f t="shared" si="112"/>
        <v>133056.1</v>
      </c>
      <c r="AR94" s="198">
        <f t="shared" si="112"/>
        <v>1278</v>
      </c>
      <c r="AS94" s="198">
        <f t="shared" si="112"/>
        <v>0</v>
      </c>
      <c r="AT94" s="198">
        <f t="shared" si="112"/>
        <v>126247.1</v>
      </c>
      <c r="AU94" s="198">
        <f t="shared" si="112"/>
        <v>9131.2999999999993</v>
      </c>
      <c r="AV94" s="198">
        <f t="shared" si="112"/>
        <v>0</v>
      </c>
      <c r="AW94" s="198">
        <f>SUM(AW48:AW93)</f>
        <v>136887.4</v>
      </c>
      <c r="AX94" s="198">
        <f>SUM(AX48:AX93)</f>
        <v>22000</v>
      </c>
      <c r="AY94" s="619"/>
      <c r="AZ94" s="619"/>
      <c r="BA94" s="619"/>
    </row>
    <row r="95" spans="2:53" s="69" customFormat="1" ht="33">
      <c r="B95" s="660"/>
      <c r="C95" s="204" t="s">
        <v>1663</v>
      </c>
      <c r="D95" s="205"/>
      <c r="E95" s="206"/>
      <c r="F95" s="206"/>
      <c r="G95" s="206"/>
      <c r="H95" s="696"/>
      <c r="I95" s="206"/>
      <c r="J95" s="696"/>
      <c r="K95" s="206"/>
      <c r="L95" s="206"/>
      <c r="M95" s="696"/>
      <c r="N95" s="206"/>
      <c r="O95" s="696"/>
      <c r="P95" s="206"/>
      <c r="Q95" s="206"/>
      <c r="R95" s="206"/>
      <c r="S95" s="206"/>
      <c r="T95" s="206"/>
      <c r="U95" s="206"/>
      <c r="V95" s="697"/>
      <c r="W95" s="206"/>
      <c r="X95" s="697"/>
      <c r="Y95" s="697"/>
      <c r="Z95" s="206"/>
      <c r="AA95" s="206"/>
      <c r="AB95" s="206"/>
      <c r="AC95" s="207"/>
      <c r="AD95" s="207"/>
      <c r="AE95" s="207"/>
      <c r="AF95" s="207"/>
      <c r="AG95" s="207"/>
      <c r="AH95" s="207"/>
      <c r="AI95" s="191"/>
      <c r="AJ95" s="191"/>
      <c r="AK95" s="191"/>
      <c r="AL95" s="191"/>
      <c r="AM95" s="191"/>
      <c r="AN95" s="191"/>
      <c r="AO95" s="193"/>
      <c r="AP95" s="193"/>
      <c r="AQ95" s="193"/>
      <c r="AR95" s="193"/>
      <c r="AS95" s="193"/>
      <c r="AT95" s="197"/>
      <c r="AU95" s="197"/>
      <c r="AV95" s="191"/>
      <c r="AW95" s="236"/>
      <c r="AX95" s="236"/>
      <c r="AY95" s="619"/>
      <c r="AZ95" s="619"/>
      <c r="BA95" s="619"/>
    </row>
    <row r="96" spans="2:53" s="69" customFormat="1" ht="33">
      <c r="B96" s="660"/>
      <c r="C96" s="208" t="s">
        <v>1309</v>
      </c>
      <c r="D96" s="205"/>
      <c r="E96" s="206"/>
      <c r="F96" s="206"/>
      <c r="G96" s="206"/>
      <c r="H96" s="696"/>
      <c r="I96" s="206"/>
      <c r="J96" s="696"/>
      <c r="K96" s="206"/>
      <c r="L96" s="206"/>
      <c r="M96" s="696"/>
      <c r="N96" s="206"/>
      <c r="O96" s="696"/>
      <c r="P96" s="206"/>
      <c r="Q96" s="206"/>
      <c r="R96" s="206"/>
      <c r="S96" s="206"/>
      <c r="T96" s="206"/>
      <c r="U96" s="206"/>
      <c r="V96" s="697"/>
      <c r="W96" s="206"/>
      <c r="X96" s="697"/>
      <c r="Y96" s="697"/>
      <c r="Z96" s="206"/>
      <c r="AA96" s="206"/>
      <c r="AB96" s="206"/>
      <c r="AC96" s="207"/>
      <c r="AD96" s="207"/>
      <c r="AE96" s="207"/>
      <c r="AF96" s="207"/>
      <c r="AG96" s="207"/>
      <c r="AH96" s="207"/>
      <c r="AI96" s="191"/>
      <c r="AJ96" s="191"/>
      <c r="AK96" s="191"/>
      <c r="AL96" s="191"/>
      <c r="AM96" s="191"/>
      <c r="AN96" s="191"/>
      <c r="AO96" s="193"/>
      <c r="AP96" s="193"/>
      <c r="AQ96" s="193"/>
      <c r="AR96" s="193"/>
      <c r="AS96" s="193"/>
      <c r="AT96" s="197"/>
      <c r="AU96" s="197"/>
      <c r="AV96" s="191"/>
      <c r="AW96" s="236"/>
      <c r="AX96" s="236"/>
      <c r="AY96" s="619"/>
      <c r="AZ96" s="619"/>
      <c r="BA96" s="619"/>
    </row>
    <row r="97" spans="2:53" s="69" customFormat="1" ht="58.5">
      <c r="B97" s="660">
        <f>B92+1</f>
        <v>63</v>
      </c>
      <c r="C97" s="185" t="s">
        <v>1665</v>
      </c>
      <c r="D97" s="186" t="s">
        <v>225</v>
      </c>
      <c r="E97" s="660" t="s">
        <v>1666</v>
      </c>
      <c r="F97" s="660">
        <v>12</v>
      </c>
      <c r="G97" s="187">
        <v>6773</v>
      </c>
      <c r="H97" s="687"/>
      <c r="I97" s="187"/>
      <c r="J97" s="688"/>
      <c r="K97" s="192"/>
      <c r="L97" s="187"/>
      <c r="M97" s="687"/>
      <c r="N97" s="187"/>
      <c r="O97" s="687"/>
      <c r="P97" s="187"/>
      <c r="Q97" s="187"/>
      <c r="R97" s="187">
        <f t="shared" ref="R97:R118" si="113">G97+I97+K97+L97+N97+P97+Q97</f>
        <v>6773</v>
      </c>
      <c r="S97" s="187">
        <v>1</v>
      </c>
      <c r="T97" s="187"/>
      <c r="U97" s="187"/>
      <c r="V97" s="687"/>
      <c r="W97" s="187"/>
      <c r="X97" s="769">
        <v>18</v>
      </c>
      <c r="Y97" s="688">
        <v>0.2</v>
      </c>
      <c r="Z97" s="194">
        <f t="shared" ref="Z97:Z119" si="114">R97*Y97</f>
        <v>1354.6000000000001</v>
      </c>
      <c r="AA97" s="187"/>
      <c r="AB97" s="187">
        <f t="shared" ref="AB97:AB102" si="115">(R97+Z97)*S97+AA97</f>
        <v>8127.6</v>
      </c>
      <c r="AC97" s="689">
        <f t="shared" ref="AC97:AC120" si="116">AF97</f>
        <v>11872.4</v>
      </c>
      <c r="AD97" s="689">
        <f t="shared" ref="AD97:AD120" si="117">AB97+AC97</f>
        <v>20000</v>
      </c>
      <c r="AE97" s="190">
        <f>20000*S97</f>
        <v>20000</v>
      </c>
      <c r="AF97" s="190">
        <f t="shared" ref="AF97:AF119" si="118">AE97-AB97</f>
        <v>11872.4</v>
      </c>
      <c r="AG97" s="689">
        <f>8000*S97</f>
        <v>8000</v>
      </c>
      <c r="AH97" s="190">
        <f>AG97-(R97+Z97)*S97</f>
        <v>-127.60000000000036</v>
      </c>
      <c r="AI97" s="191">
        <f t="shared" ref="AI97:AI105" si="119">G97*S97</f>
        <v>6773</v>
      </c>
      <c r="AJ97" s="191">
        <f>G97*T97</f>
        <v>0</v>
      </c>
      <c r="AK97" s="191">
        <f>R97*S97</f>
        <v>6773</v>
      </c>
      <c r="AL97" s="191">
        <f>R97*T97</f>
        <v>0</v>
      </c>
      <c r="AM97" s="191">
        <f t="shared" ref="AM97:AN119" si="120">AK97-AI97</f>
        <v>0</v>
      </c>
      <c r="AN97" s="191">
        <f t="shared" si="120"/>
        <v>0</v>
      </c>
      <c r="AO97" s="193">
        <f t="shared" ref="AO97:AO119" si="121">Z97*S97</f>
        <v>1354.6000000000001</v>
      </c>
      <c r="AP97" s="193">
        <f t="shared" ref="AP97:AP119" si="122">Z97*T97</f>
        <v>0</v>
      </c>
      <c r="AQ97" s="193">
        <f t="shared" ref="AQ97:AQ119" si="123">AA97</f>
        <v>0</v>
      </c>
      <c r="AR97" s="193">
        <f t="shared" ref="AR97:AR119" si="124">W97*S97</f>
        <v>0</v>
      </c>
      <c r="AS97" s="193">
        <f t="shared" ref="AS97:AS119" si="125">W97*T97</f>
        <v>0</v>
      </c>
      <c r="AT97" s="197">
        <f t="shared" si="111"/>
        <v>6773</v>
      </c>
      <c r="AU97" s="197">
        <f t="shared" si="111"/>
        <v>0</v>
      </c>
      <c r="AV97" s="191"/>
      <c r="AW97" s="236">
        <f t="shared" ref="AW97:AW105" si="126">R97*S97</f>
        <v>6773</v>
      </c>
      <c r="AX97" s="236"/>
      <c r="AY97" s="619"/>
      <c r="AZ97" s="619"/>
      <c r="BA97" s="619"/>
    </row>
    <row r="98" spans="2:53" s="69" customFormat="1" ht="74.25" customHeight="1">
      <c r="B98" s="660">
        <f>B97+1</f>
        <v>64</v>
      </c>
      <c r="C98" s="185" t="s">
        <v>1665</v>
      </c>
      <c r="D98" s="186" t="s">
        <v>226</v>
      </c>
      <c r="E98" s="660" t="s">
        <v>104</v>
      </c>
      <c r="F98" s="660">
        <v>11</v>
      </c>
      <c r="G98" s="187">
        <v>6294</v>
      </c>
      <c r="H98" s="687"/>
      <c r="I98" s="187"/>
      <c r="J98" s="688"/>
      <c r="K98" s="192"/>
      <c r="L98" s="187"/>
      <c r="M98" s="687"/>
      <c r="N98" s="187"/>
      <c r="O98" s="687"/>
      <c r="P98" s="187"/>
      <c r="Q98" s="187"/>
      <c r="R98" s="187">
        <f t="shared" si="113"/>
        <v>6294</v>
      </c>
      <c r="S98" s="187"/>
      <c r="T98" s="187">
        <v>0.25</v>
      </c>
      <c r="U98" s="187"/>
      <c r="V98" s="687"/>
      <c r="W98" s="187"/>
      <c r="X98" s="769">
        <v>0</v>
      </c>
      <c r="Y98" s="688">
        <v>0</v>
      </c>
      <c r="Z98" s="194">
        <f t="shared" si="114"/>
        <v>0</v>
      </c>
      <c r="AA98" s="187">
        <f>AH98</f>
        <v>426.5</v>
      </c>
      <c r="AB98" s="187">
        <f>(R98+Z98)*T98+AA98</f>
        <v>2000</v>
      </c>
      <c r="AC98" s="689">
        <f t="shared" si="116"/>
        <v>3000</v>
      </c>
      <c r="AD98" s="689">
        <f t="shared" si="117"/>
        <v>5000</v>
      </c>
      <c r="AE98" s="190">
        <f>20000*T98</f>
        <v>5000</v>
      </c>
      <c r="AF98" s="190">
        <f t="shared" si="118"/>
        <v>3000</v>
      </c>
      <c r="AG98" s="689">
        <f>8000*T98</f>
        <v>2000</v>
      </c>
      <c r="AH98" s="190">
        <f>AG98-(R98+Z98)*T98</f>
        <v>426.5</v>
      </c>
      <c r="AI98" s="191"/>
      <c r="AJ98" s="191"/>
      <c r="AK98" s="191"/>
      <c r="AL98" s="191"/>
      <c r="AM98" s="191"/>
      <c r="AN98" s="191"/>
      <c r="AO98" s="193"/>
      <c r="AP98" s="193"/>
      <c r="AQ98" s="193"/>
      <c r="AR98" s="193"/>
      <c r="AS98" s="193"/>
      <c r="AT98" s="197"/>
      <c r="AU98" s="197"/>
      <c r="AV98" s="191"/>
      <c r="AW98" s="236">
        <f>R98*T98</f>
        <v>1573.5</v>
      </c>
      <c r="AX98" s="236"/>
      <c r="AY98" s="619"/>
      <c r="AZ98" s="619"/>
      <c r="BA98" s="619"/>
    </row>
    <row r="99" spans="2:53" s="69" customFormat="1" ht="74.25" customHeight="1">
      <c r="B99" s="660">
        <f>B98+1</f>
        <v>65</v>
      </c>
      <c r="C99" s="185" t="s">
        <v>1665</v>
      </c>
      <c r="D99" s="186"/>
      <c r="E99" s="660" t="s">
        <v>1667</v>
      </c>
      <c r="F99" s="660">
        <v>11</v>
      </c>
      <c r="G99" s="187">
        <v>6294</v>
      </c>
      <c r="H99" s="687"/>
      <c r="I99" s="187"/>
      <c r="J99" s="688"/>
      <c r="K99" s="192"/>
      <c r="L99" s="187"/>
      <c r="M99" s="687"/>
      <c r="N99" s="187"/>
      <c r="O99" s="687"/>
      <c r="P99" s="187"/>
      <c r="Q99" s="187"/>
      <c r="R99" s="187">
        <f t="shared" si="113"/>
        <v>6294</v>
      </c>
      <c r="S99" s="187">
        <v>0.75</v>
      </c>
      <c r="T99" s="187"/>
      <c r="U99" s="187"/>
      <c r="V99" s="687"/>
      <c r="W99" s="187"/>
      <c r="X99" s="769"/>
      <c r="Y99" s="688"/>
      <c r="Z99" s="187">
        <f t="shared" si="114"/>
        <v>0</v>
      </c>
      <c r="AA99" s="187">
        <f>AH99</f>
        <v>1279.5</v>
      </c>
      <c r="AB99" s="187">
        <f t="shared" si="115"/>
        <v>6000</v>
      </c>
      <c r="AC99" s="689">
        <f t="shared" si="116"/>
        <v>9000</v>
      </c>
      <c r="AD99" s="689">
        <f t="shared" si="117"/>
        <v>15000</v>
      </c>
      <c r="AE99" s="190">
        <f t="shared" ref="AE99:AE104" si="127">20000*S99</f>
        <v>15000</v>
      </c>
      <c r="AF99" s="190">
        <f t="shared" si="118"/>
        <v>9000</v>
      </c>
      <c r="AG99" s="689">
        <f t="shared" ref="AG99:AG104" si="128">8000*S99</f>
        <v>6000</v>
      </c>
      <c r="AH99" s="190">
        <f t="shared" ref="AH99:AH105" si="129">AG99-(R99+Z99)*S99</f>
        <v>1279.5</v>
      </c>
      <c r="AI99" s="191">
        <f t="shared" si="119"/>
        <v>4720.5</v>
      </c>
      <c r="AJ99" s="191">
        <f t="shared" ref="AJ99:AJ120" si="130">G99*T99</f>
        <v>0</v>
      </c>
      <c r="AK99" s="191">
        <f t="shared" ref="AK99:AK105" si="131">R99*S99</f>
        <v>4720.5</v>
      </c>
      <c r="AL99" s="191">
        <f t="shared" ref="AL99:AL107" si="132">R99*T99</f>
        <v>0</v>
      </c>
      <c r="AM99" s="191">
        <f t="shared" si="120"/>
        <v>0</v>
      </c>
      <c r="AN99" s="191">
        <f t="shared" si="120"/>
        <v>0</v>
      </c>
      <c r="AO99" s="193">
        <f t="shared" si="121"/>
        <v>0</v>
      </c>
      <c r="AP99" s="193">
        <f t="shared" si="122"/>
        <v>0</v>
      </c>
      <c r="AQ99" s="193">
        <f t="shared" si="123"/>
        <v>1279.5</v>
      </c>
      <c r="AR99" s="193">
        <f t="shared" si="124"/>
        <v>0</v>
      </c>
      <c r="AS99" s="193">
        <f t="shared" si="125"/>
        <v>0</v>
      </c>
      <c r="AT99" s="197">
        <f t="shared" si="111"/>
        <v>4720.5</v>
      </c>
      <c r="AU99" s="197">
        <f t="shared" si="111"/>
        <v>0</v>
      </c>
      <c r="AV99" s="191"/>
      <c r="AW99" s="236">
        <f t="shared" si="126"/>
        <v>4720.5</v>
      </c>
      <c r="AX99" s="236"/>
      <c r="AY99" s="619"/>
      <c r="AZ99" s="619"/>
      <c r="BA99" s="619"/>
    </row>
    <row r="100" spans="2:53" s="69" customFormat="1" ht="87.75">
      <c r="B100" s="660">
        <f t="shared" si="92"/>
        <v>66</v>
      </c>
      <c r="C100" s="185" t="s">
        <v>993</v>
      </c>
      <c r="D100" s="186" t="s">
        <v>1285</v>
      </c>
      <c r="E100" s="660" t="s">
        <v>994</v>
      </c>
      <c r="F100" s="660">
        <v>13</v>
      </c>
      <c r="G100" s="187">
        <v>7253</v>
      </c>
      <c r="H100" s="687"/>
      <c r="I100" s="187"/>
      <c r="J100" s="688">
        <v>0.1</v>
      </c>
      <c r="K100" s="187">
        <f>(G100+I100)*J100</f>
        <v>725.30000000000007</v>
      </c>
      <c r="L100" s="187"/>
      <c r="M100" s="687"/>
      <c r="N100" s="187"/>
      <c r="O100" s="687"/>
      <c r="P100" s="187"/>
      <c r="Q100" s="187"/>
      <c r="R100" s="187">
        <f t="shared" si="113"/>
        <v>7978.3</v>
      </c>
      <c r="S100" s="187">
        <v>1</v>
      </c>
      <c r="T100" s="187"/>
      <c r="U100" s="187"/>
      <c r="V100" s="687"/>
      <c r="W100" s="187"/>
      <c r="X100" s="769">
        <v>23</v>
      </c>
      <c r="Y100" s="688">
        <v>0.3</v>
      </c>
      <c r="Z100" s="187">
        <f t="shared" si="114"/>
        <v>2393.4899999999998</v>
      </c>
      <c r="AA100" s="187"/>
      <c r="AB100" s="187">
        <f t="shared" si="115"/>
        <v>10371.790000000001</v>
      </c>
      <c r="AC100" s="689">
        <f t="shared" si="116"/>
        <v>9628.2099999999991</v>
      </c>
      <c r="AD100" s="689">
        <f t="shared" si="117"/>
        <v>20000</v>
      </c>
      <c r="AE100" s="190">
        <f t="shared" si="127"/>
        <v>20000</v>
      </c>
      <c r="AF100" s="190">
        <f t="shared" si="118"/>
        <v>9628.2099999999991</v>
      </c>
      <c r="AG100" s="689">
        <f t="shared" si="128"/>
        <v>8000</v>
      </c>
      <c r="AH100" s="190">
        <f t="shared" si="129"/>
        <v>-2371.7900000000009</v>
      </c>
      <c r="AI100" s="191">
        <f t="shared" si="119"/>
        <v>7253</v>
      </c>
      <c r="AJ100" s="191">
        <f t="shared" si="130"/>
        <v>0</v>
      </c>
      <c r="AK100" s="191">
        <f t="shared" si="131"/>
        <v>7978.3</v>
      </c>
      <c r="AL100" s="191">
        <f t="shared" si="132"/>
        <v>0</v>
      </c>
      <c r="AM100" s="191">
        <f t="shared" si="120"/>
        <v>725.30000000000018</v>
      </c>
      <c r="AN100" s="191">
        <f t="shared" si="120"/>
        <v>0</v>
      </c>
      <c r="AO100" s="193">
        <f t="shared" si="121"/>
        <v>2393.4899999999998</v>
      </c>
      <c r="AP100" s="193">
        <f t="shared" si="122"/>
        <v>0</v>
      </c>
      <c r="AQ100" s="193">
        <f t="shared" si="123"/>
        <v>0</v>
      </c>
      <c r="AR100" s="193">
        <f t="shared" si="124"/>
        <v>0</v>
      </c>
      <c r="AS100" s="193">
        <f t="shared" si="125"/>
        <v>0</v>
      </c>
      <c r="AT100" s="197">
        <f t="shared" si="111"/>
        <v>7978.3</v>
      </c>
      <c r="AU100" s="197">
        <f t="shared" si="111"/>
        <v>0</v>
      </c>
      <c r="AV100" s="191"/>
      <c r="AW100" s="236">
        <f t="shared" si="126"/>
        <v>7978.3</v>
      </c>
      <c r="AX100" s="236"/>
      <c r="AY100" s="619"/>
      <c r="AZ100" s="619"/>
      <c r="BA100" s="619"/>
    </row>
    <row r="101" spans="2:53" s="69" customFormat="1" ht="58.5">
      <c r="B101" s="660">
        <f t="shared" si="92"/>
        <v>67</v>
      </c>
      <c r="C101" s="185" t="s">
        <v>997</v>
      </c>
      <c r="D101" s="186" t="s">
        <v>227</v>
      </c>
      <c r="E101" s="660" t="s">
        <v>998</v>
      </c>
      <c r="F101" s="660">
        <v>13</v>
      </c>
      <c r="G101" s="187">
        <v>7253</v>
      </c>
      <c r="H101" s="674"/>
      <c r="I101" s="660"/>
      <c r="J101" s="674"/>
      <c r="K101" s="660"/>
      <c r="L101" s="660"/>
      <c r="M101" s="674"/>
      <c r="N101" s="187"/>
      <c r="O101" s="688">
        <v>0.25</v>
      </c>
      <c r="P101" s="187">
        <f>G101*O101</f>
        <v>1813.25</v>
      </c>
      <c r="Q101" s="189"/>
      <c r="R101" s="187">
        <f t="shared" si="113"/>
        <v>9066.25</v>
      </c>
      <c r="S101" s="187">
        <v>1</v>
      </c>
      <c r="T101" s="187"/>
      <c r="U101" s="182"/>
      <c r="V101" s="688"/>
      <c r="W101" s="182"/>
      <c r="X101" s="682">
        <v>34</v>
      </c>
      <c r="Y101" s="688">
        <v>0.3</v>
      </c>
      <c r="Z101" s="187">
        <f t="shared" si="114"/>
        <v>2719.875</v>
      </c>
      <c r="AA101" s="187"/>
      <c r="AB101" s="187">
        <f t="shared" si="115"/>
        <v>11786.125</v>
      </c>
      <c r="AC101" s="689">
        <f t="shared" si="116"/>
        <v>8213.875</v>
      </c>
      <c r="AD101" s="689">
        <f t="shared" si="117"/>
        <v>20000</v>
      </c>
      <c r="AE101" s="190">
        <f t="shared" si="127"/>
        <v>20000</v>
      </c>
      <c r="AF101" s="190">
        <f t="shared" si="118"/>
        <v>8213.875</v>
      </c>
      <c r="AG101" s="689">
        <f t="shared" si="128"/>
        <v>8000</v>
      </c>
      <c r="AH101" s="190">
        <f t="shared" si="129"/>
        <v>-3786.125</v>
      </c>
      <c r="AI101" s="191">
        <f t="shared" si="119"/>
        <v>7253</v>
      </c>
      <c r="AJ101" s="191">
        <f t="shared" si="130"/>
        <v>0</v>
      </c>
      <c r="AK101" s="191">
        <f t="shared" si="131"/>
        <v>9066.25</v>
      </c>
      <c r="AL101" s="191">
        <f t="shared" si="132"/>
        <v>0</v>
      </c>
      <c r="AM101" s="191">
        <f t="shared" si="120"/>
        <v>1813.25</v>
      </c>
      <c r="AN101" s="191">
        <f t="shared" si="120"/>
        <v>0</v>
      </c>
      <c r="AO101" s="193">
        <f t="shared" si="121"/>
        <v>2719.875</v>
      </c>
      <c r="AP101" s="193">
        <f t="shared" si="122"/>
        <v>0</v>
      </c>
      <c r="AQ101" s="193">
        <f t="shared" si="123"/>
        <v>0</v>
      </c>
      <c r="AR101" s="193">
        <f t="shared" si="124"/>
        <v>0</v>
      </c>
      <c r="AS101" s="193">
        <f t="shared" si="125"/>
        <v>0</v>
      </c>
      <c r="AT101" s="197">
        <f t="shared" si="111"/>
        <v>9066.25</v>
      </c>
      <c r="AU101" s="197">
        <f t="shared" si="111"/>
        <v>0</v>
      </c>
      <c r="AV101" s="191"/>
      <c r="AW101" s="236">
        <f t="shared" si="126"/>
        <v>9066.25</v>
      </c>
      <c r="AX101" s="236"/>
      <c r="AY101" s="619"/>
      <c r="AZ101" s="619"/>
      <c r="BA101" s="619"/>
    </row>
    <row r="102" spans="2:53" s="69" customFormat="1" ht="33.75" customHeight="1">
      <c r="B102" s="660">
        <f t="shared" si="92"/>
        <v>68</v>
      </c>
      <c r="C102" s="185" t="s">
        <v>999</v>
      </c>
      <c r="D102" s="186" t="s">
        <v>228</v>
      </c>
      <c r="E102" s="883" t="s">
        <v>1286</v>
      </c>
      <c r="F102" s="660">
        <v>10</v>
      </c>
      <c r="G102" s="187">
        <v>5815</v>
      </c>
      <c r="H102" s="687"/>
      <c r="I102" s="187"/>
      <c r="J102" s="687"/>
      <c r="K102" s="187"/>
      <c r="L102" s="187"/>
      <c r="M102" s="687"/>
      <c r="N102" s="187"/>
      <c r="O102" s="687"/>
      <c r="P102" s="187"/>
      <c r="Q102" s="187"/>
      <c r="R102" s="187">
        <f t="shared" si="113"/>
        <v>5815</v>
      </c>
      <c r="S102" s="187">
        <v>1</v>
      </c>
      <c r="T102" s="187"/>
      <c r="U102" s="187"/>
      <c r="V102" s="687"/>
      <c r="W102" s="187"/>
      <c r="X102" s="674">
        <v>3</v>
      </c>
      <c r="Y102" s="688">
        <v>0.1</v>
      </c>
      <c r="Z102" s="187">
        <f>R102*Y102</f>
        <v>581.5</v>
      </c>
      <c r="AA102" s="187">
        <f>AH102</f>
        <v>1603.5</v>
      </c>
      <c r="AB102" s="187">
        <f t="shared" si="115"/>
        <v>8000</v>
      </c>
      <c r="AC102" s="689">
        <f>AF102</f>
        <v>12000</v>
      </c>
      <c r="AD102" s="689">
        <f t="shared" si="117"/>
        <v>20000</v>
      </c>
      <c r="AE102" s="190">
        <f t="shared" si="127"/>
        <v>20000</v>
      </c>
      <c r="AF102" s="190">
        <f>AE102-AB102</f>
        <v>12000</v>
      </c>
      <c r="AG102" s="689">
        <f t="shared" si="128"/>
        <v>8000</v>
      </c>
      <c r="AH102" s="190">
        <f t="shared" si="129"/>
        <v>1603.5</v>
      </c>
      <c r="AI102" s="191">
        <f t="shared" si="119"/>
        <v>5815</v>
      </c>
      <c r="AJ102" s="191">
        <f t="shared" si="130"/>
        <v>0</v>
      </c>
      <c r="AK102" s="191">
        <f t="shared" si="131"/>
        <v>5815</v>
      </c>
      <c r="AL102" s="191">
        <f t="shared" si="132"/>
        <v>0</v>
      </c>
      <c r="AM102" s="191">
        <f>AK102-AI102</f>
        <v>0</v>
      </c>
      <c r="AN102" s="191">
        <f>AL102-AJ102</f>
        <v>0</v>
      </c>
      <c r="AO102" s="193">
        <f>Z102*S102</f>
        <v>581.5</v>
      </c>
      <c r="AP102" s="193">
        <f>Z102*T102</f>
        <v>0</v>
      </c>
      <c r="AQ102" s="193">
        <f>AA102</f>
        <v>1603.5</v>
      </c>
      <c r="AR102" s="193">
        <f>W102*S102</f>
        <v>0</v>
      </c>
      <c r="AS102" s="193">
        <f>W102*T102</f>
        <v>0</v>
      </c>
      <c r="AT102" s="197">
        <f t="shared" si="111"/>
        <v>5815</v>
      </c>
      <c r="AU102" s="197">
        <f t="shared" si="111"/>
        <v>0</v>
      </c>
      <c r="AV102" s="191"/>
      <c r="AW102" s="236">
        <f t="shared" si="126"/>
        <v>5815</v>
      </c>
      <c r="AX102" s="236"/>
      <c r="AY102" s="619"/>
      <c r="AZ102" s="619"/>
      <c r="BA102" s="619"/>
    </row>
    <row r="103" spans="2:53" s="71" customFormat="1" ht="58.5">
      <c r="B103" s="660">
        <f t="shared" si="92"/>
        <v>69</v>
      </c>
      <c r="C103" s="185" t="s">
        <v>999</v>
      </c>
      <c r="D103" s="186" t="s">
        <v>1684</v>
      </c>
      <c r="E103" s="883" t="s">
        <v>1685</v>
      </c>
      <c r="F103" s="660">
        <v>10</v>
      </c>
      <c r="G103" s="187">
        <v>5815</v>
      </c>
      <c r="H103" s="687"/>
      <c r="I103" s="187"/>
      <c r="J103" s="687"/>
      <c r="K103" s="187"/>
      <c r="L103" s="187"/>
      <c r="M103" s="687"/>
      <c r="N103" s="187"/>
      <c r="O103" s="687"/>
      <c r="P103" s="187"/>
      <c r="Q103" s="187"/>
      <c r="R103" s="187">
        <f t="shared" si="113"/>
        <v>5815</v>
      </c>
      <c r="S103" s="187">
        <v>1</v>
      </c>
      <c r="T103" s="187"/>
      <c r="U103" s="187"/>
      <c r="V103" s="687"/>
      <c r="W103" s="187"/>
      <c r="X103" s="674">
        <v>2</v>
      </c>
      <c r="Y103" s="688">
        <v>0</v>
      </c>
      <c r="Z103" s="187">
        <f t="shared" si="114"/>
        <v>0</v>
      </c>
      <c r="AA103" s="187">
        <f>AH103</f>
        <v>2185</v>
      </c>
      <c r="AB103" s="187">
        <f>(R103+Z103)*S103+AA103</f>
        <v>8000</v>
      </c>
      <c r="AC103" s="689">
        <f t="shared" si="116"/>
        <v>12000</v>
      </c>
      <c r="AD103" s="689">
        <f t="shared" si="117"/>
        <v>20000</v>
      </c>
      <c r="AE103" s="190">
        <f t="shared" si="127"/>
        <v>20000</v>
      </c>
      <c r="AF103" s="190">
        <f t="shared" si="118"/>
        <v>12000</v>
      </c>
      <c r="AG103" s="689">
        <f t="shared" si="128"/>
        <v>8000</v>
      </c>
      <c r="AH103" s="190">
        <f t="shared" si="129"/>
        <v>2185</v>
      </c>
      <c r="AI103" s="191">
        <f t="shared" si="119"/>
        <v>5815</v>
      </c>
      <c r="AJ103" s="191">
        <f t="shared" si="130"/>
        <v>0</v>
      </c>
      <c r="AK103" s="191">
        <f t="shared" si="131"/>
        <v>5815</v>
      </c>
      <c r="AL103" s="191">
        <f t="shared" si="132"/>
        <v>0</v>
      </c>
      <c r="AM103" s="191">
        <f t="shared" si="120"/>
        <v>0</v>
      </c>
      <c r="AN103" s="191">
        <f t="shared" si="120"/>
        <v>0</v>
      </c>
      <c r="AO103" s="193">
        <f t="shared" si="121"/>
        <v>0</v>
      </c>
      <c r="AP103" s="193">
        <f t="shared" si="122"/>
        <v>0</v>
      </c>
      <c r="AQ103" s="193">
        <f t="shared" si="123"/>
        <v>2185</v>
      </c>
      <c r="AR103" s="193">
        <f t="shared" si="124"/>
        <v>0</v>
      </c>
      <c r="AS103" s="193">
        <f t="shared" si="125"/>
        <v>0</v>
      </c>
      <c r="AT103" s="197">
        <f t="shared" si="111"/>
        <v>5815</v>
      </c>
      <c r="AU103" s="197">
        <f t="shared" si="111"/>
        <v>0</v>
      </c>
      <c r="AV103" s="191"/>
      <c r="AW103" s="236">
        <f t="shared" si="126"/>
        <v>5815</v>
      </c>
      <c r="AX103" s="236"/>
      <c r="AY103" s="619"/>
      <c r="AZ103" s="619"/>
      <c r="BA103" s="619"/>
    </row>
    <row r="104" spans="2:53" s="71" customFormat="1" ht="58.5">
      <c r="B104" s="660">
        <f t="shared" si="92"/>
        <v>70</v>
      </c>
      <c r="C104" s="185" t="s">
        <v>1000</v>
      </c>
      <c r="D104" s="186" t="s">
        <v>229</v>
      </c>
      <c r="E104" s="660" t="s">
        <v>1664</v>
      </c>
      <c r="F104" s="660">
        <v>13</v>
      </c>
      <c r="G104" s="187">
        <v>7253</v>
      </c>
      <c r="H104" s="674"/>
      <c r="I104" s="660"/>
      <c r="J104" s="687"/>
      <c r="K104" s="187"/>
      <c r="L104" s="660"/>
      <c r="M104" s="674"/>
      <c r="N104" s="187"/>
      <c r="O104" s="674"/>
      <c r="P104" s="187"/>
      <c r="Q104" s="660"/>
      <c r="R104" s="187">
        <f t="shared" si="113"/>
        <v>7253</v>
      </c>
      <c r="S104" s="187">
        <v>1</v>
      </c>
      <c r="T104" s="187"/>
      <c r="U104" s="660"/>
      <c r="V104" s="674"/>
      <c r="W104" s="660"/>
      <c r="X104" s="674">
        <v>38</v>
      </c>
      <c r="Y104" s="688">
        <v>0.3</v>
      </c>
      <c r="Z104" s="187">
        <f t="shared" si="114"/>
        <v>2175.9</v>
      </c>
      <c r="AA104" s="187"/>
      <c r="AB104" s="187">
        <f>(R104+Z104)*S104+AA104</f>
        <v>9428.9</v>
      </c>
      <c r="AC104" s="689">
        <f t="shared" si="116"/>
        <v>10571.1</v>
      </c>
      <c r="AD104" s="689">
        <f t="shared" si="117"/>
        <v>20000</v>
      </c>
      <c r="AE104" s="190">
        <f t="shared" si="127"/>
        <v>20000</v>
      </c>
      <c r="AF104" s="190">
        <f t="shared" si="118"/>
        <v>10571.1</v>
      </c>
      <c r="AG104" s="689">
        <f t="shared" si="128"/>
        <v>8000</v>
      </c>
      <c r="AH104" s="190">
        <f t="shared" si="129"/>
        <v>-1428.8999999999996</v>
      </c>
      <c r="AI104" s="191">
        <f t="shared" si="119"/>
        <v>7253</v>
      </c>
      <c r="AJ104" s="191">
        <f t="shared" si="130"/>
        <v>0</v>
      </c>
      <c r="AK104" s="191">
        <f t="shared" si="131"/>
        <v>7253</v>
      </c>
      <c r="AL104" s="191">
        <f t="shared" si="132"/>
        <v>0</v>
      </c>
      <c r="AM104" s="191">
        <f t="shared" si="120"/>
        <v>0</v>
      </c>
      <c r="AN104" s="191">
        <f t="shared" si="120"/>
        <v>0</v>
      </c>
      <c r="AO104" s="193">
        <f t="shared" si="121"/>
        <v>2175.9</v>
      </c>
      <c r="AP104" s="193">
        <f t="shared" si="122"/>
        <v>0</v>
      </c>
      <c r="AQ104" s="193">
        <f t="shared" si="123"/>
        <v>0</v>
      </c>
      <c r="AR104" s="193">
        <f t="shared" si="124"/>
        <v>0</v>
      </c>
      <c r="AS104" s="193">
        <f t="shared" si="125"/>
        <v>0</v>
      </c>
      <c r="AT104" s="197">
        <f t="shared" si="111"/>
        <v>7253</v>
      </c>
      <c r="AU104" s="197">
        <f t="shared" si="111"/>
        <v>0</v>
      </c>
      <c r="AV104" s="191"/>
      <c r="AW104" s="236">
        <f t="shared" si="126"/>
        <v>7253</v>
      </c>
      <c r="AX104" s="236"/>
      <c r="AY104" s="619"/>
      <c r="AZ104" s="619"/>
      <c r="BA104" s="619"/>
    </row>
    <row r="105" spans="2:53" s="69" customFormat="1" ht="33">
      <c r="B105" s="660">
        <f t="shared" si="92"/>
        <v>71</v>
      </c>
      <c r="C105" s="185" t="s">
        <v>1003</v>
      </c>
      <c r="D105" s="186"/>
      <c r="E105" s="660" t="s">
        <v>1667</v>
      </c>
      <c r="F105" s="660">
        <v>10</v>
      </c>
      <c r="G105" s="187">
        <v>5815</v>
      </c>
      <c r="H105" s="674"/>
      <c r="I105" s="660"/>
      <c r="J105" s="674"/>
      <c r="K105" s="660"/>
      <c r="L105" s="660"/>
      <c r="M105" s="674"/>
      <c r="N105" s="187"/>
      <c r="O105" s="688">
        <v>0.15</v>
      </c>
      <c r="P105" s="187">
        <f>G105*O105</f>
        <v>872.25</v>
      </c>
      <c r="Q105" s="189"/>
      <c r="R105" s="187">
        <f t="shared" si="113"/>
        <v>6687.25</v>
      </c>
      <c r="S105" s="187">
        <v>0.25</v>
      </c>
      <c r="T105" s="187"/>
      <c r="U105" s="182"/>
      <c r="V105" s="688"/>
      <c r="W105" s="182"/>
      <c r="X105" s="682"/>
      <c r="Y105" s="688"/>
      <c r="Z105" s="187">
        <f t="shared" si="114"/>
        <v>0</v>
      </c>
      <c r="AA105" s="187">
        <f>AH105</f>
        <v>328.1875</v>
      </c>
      <c r="AB105" s="187">
        <f>(R105+Z105)*S105+AA105</f>
        <v>2000</v>
      </c>
      <c r="AC105" s="689">
        <f>AF105</f>
        <v>3000</v>
      </c>
      <c r="AD105" s="689">
        <f>AB105+AC105</f>
        <v>5000</v>
      </c>
      <c r="AE105" s="190">
        <f>20000*S105</f>
        <v>5000</v>
      </c>
      <c r="AF105" s="190">
        <f>AE105-AB105</f>
        <v>3000</v>
      </c>
      <c r="AG105" s="689">
        <f>8000*S105</f>
        <v>2000</v>
      </c>
      <c r="AH105" s="190">
        <f t="shared" si="129"/>
        <v>328.1875</v>
      </c>
      <c r="AI105" s="191">
        <f t="shared" si="119"/>
        <v>1453.75</v>
      </c>
      <c r="AJ105" s="191">
        <f t="shared" si="130"/>
        <v>0</v>
      </c>
      <c r="AK105" s="191">
        <f t="shared" si="131"/>
        <v>1671.8125</v>
      </c>
      <c r="AL105" s="191">
        <f t="shared" si="132"/>
        <v>0</v>
      </c>
      <c r="AM105" s="191">
        <f t="shared" si="120"/>
        <v>218.0625</v>
      </c>
      <c r="AN105" s="191">
        <f t="shared" si="120"/>
        <v>0</v>
      </c>
      <c r="AO105" s="193">
        <f t="shared" si="121"/>
        <v>0</v>
      </c>
      <c r="AP105" s="193">
        <f t="shared" si="122"/>
        <v>0</v>
      </c>
      <c r="AQ105" s="193">
        <f t="shared" si="123"/>
        <v>328.1875</v>
      </c>
      <c r="AR105" s="193">
        <f t="shared" si="124"/>
        <v>0</v>
      </c>
      <c r="AS105" s="193">
        <f t="shared" si="125"/>
        <v>0</v>
      </c>
      <c r="AT105" s="197">
        <f t="shared" si="111"/>
        <v>1671.8125</v>
      </c>
      <c r="AU105" s="197">
        <f t="shared" si="111"/>
        <v>0</v>
      </c>
      <c r="AV105" s="191"/>
      <c r="AW105" s="236">
        <f t="shared" si="126"/>
        <v>1671.8125</v>
      </c>
      <c r="AX105" s="236"/>
      <c r="AY105" s="619"/>
      <c r="AZ105" s="619"/>
      <c r="BA105" s="619"/>
    </row>
    <row r="106" spans="2:53" s="69" customFormat="1" ht="87.75">
      <c r="B106" s="660">
        <f>1+B105</f>
        <v>72</v>
      </c>
      <c r="C106" s="185" t="s">
        <v>1003</v>
      </c>
      <c r="D106" s="186" t="s">
        <v>230</v>
      </c>
      <c r="E106" s="660" t="s">
        <v>1004</v>
      </c>
      <c r="F106" s="660">
        <v>12</v>
      </c>
      <c r="G106" s="187">
        <v>6773</v>
      </c>
      <c r="H106" s="674"/>
      <c r="I106" s="660"/>
      <c r="J106" s="674"/>
      <c r="K106" s="660"/>
      <c r="L106" s="660"/>
      <c r="M106" s="674"/>
      <c r="N106" s="187"/>
      <c r="O106" s="688">
        <v>0.15</v>
      </c>
      <c r="P106" s="187">
        <f>G106*O106</f>
        <v>1015.9499999999999</v>
      </c>
      <c r="Q106" s="189"/>
      <c r="R106" s="187">
        <f>G106+I106+K106+L106+N106+P106+Q106</f>
        <v>7788.95</v>
      </c>
      <c r="S106" s="187"/>
      <c r="T106" s="187">
        <v>0.75</v>
      </c>
      <c r="U106" s="182"/>
      <c r="V106" s="688"/>
      <c r="W106" s="182"/>
      <c r="X106" s="682">
        <v>17</v>
      </c>
      <c r="Y106" s="688">
        <v>0.2</v>
      </c>
      <c r="Z106" s="187">
        <f>R106*Y106</f>
        <v>1557.79</v>
      </c>
      <c r="AA106" s="192"/>
      <c r="AB106" s="187">
        <f>(R106+Z106)*T106+AA106</f>
        <v>7010.0550000000003</v>
      </c>
      <c r="AC106" s="689">
        <f t="shared" si="116"/>
        <v>7989.9449999999997</v>
      </c>
      <c r="AD106" s="689">
        <f t="shared" si="117"/>
        <v>15000</v>
      </c>
      <c r="AE106" s="190">
        <f>20000*T106</f>
        <v>15000</v>
      </c>
      <c r="AF106" s="190">
        <f t="shared" si="118"/>
        <v>7989.9449999999997</v>
      </c>
      <c r="AG106" s="689">
        <f>8000*T106</f>
        <v>6000</v>
      </c>
      <c r="AH106" s="190">
        <f>AG106-(R106+Z106)*T106</f>
        <v>-1010.0550000000003</v>
      </c>
      <c r="AI106" s="191">
        <f>G106*T106</f>
        <v>5079.75</v>
      </c>
      <c r="AJ106" s="191">
        <f t="shared" si="130"/>
        <v>5079.75</v>
      </c>
      <c r="AK106" s="191">
        <f>R106*T106</f>
        <v>5841.7124999999996</v>
      </c>
      <c r="AL106" s="191">
        <f t="shared" si="132"/>
        <v>5841.7124999999996</v>
      </c>
      <c r="AM106" s="191">
        <f t="shared" si="120"/>
        <v>761.96249999999964</v>
      </c>
      <c r="AN106" s="191">
        <f t="shared" si="120"/>
        <v>761.96249999999964</v>
      </c>
      <c r="AO106" s="193">
        <f>Z106*T106</f>
        <v>1168.3425</v>
      </c>
      <c r="AP106" s="193">
        <f t="shared" si="122"/>
        <v>1168.3425</v>
      </c>
      <c r="AQ106" s="193">
        <f>AA106</f>
        <v>0</v>
      </c>
      <c r="AR106" s="193">
        <f>W106*T106</f>
        <v>0</v>
      </c>
      <c r="AS106" s="193">
        <f t="shared" si="125"/>
        <v>0</v>
      </c>
      <c r="AT106" s="197">
        <f>AK106</f>
        <v>5841.7124999999996</v>
      </c>
      <c r="AU106" s="197">
        <f t="shared" si="111"/>
        <v>5841.7124999999996</v>
      </c>
      <c r="AV106" s="191"/>
      <c r="AW106" s="236">
        <f>R106*T106</f>
        <v>5841.7124999999996</v>
      </c>
      <c r="AX106" s="236"/>
      <c r="AY106" s="619"/>
      <c r="AZ106" s="619"/>
      <c r="BA106" s="619"/>
    </row>
    <row r="107" spans="2:53" s="69" customFormat="1" ht="58.5">
      <c r="B107" s="660">
        <f t="shared" si="92"/>
        <v>73</v>
      </c>
      <c r="C107" s="185" t="s">
        <v>1003</v>
      </c>
      <c r="D107" s="186" t="s">
        <v>231</v>
      </c>
      <c r="E107" s="660" t="s">
        <v>1030</v>
      </c>
      <c r="F107" s="660">
        <v>10</v>
      </c>
      <c r="G107" s="187">
        <v>5815</v>
      </c>
      <c r="H107" s="674"/>
      <c r="I107" s="660"/>
      <c r="J107" s="674"/>
      <c r="K107" s="660"/>
      <c r="L107" s="660"/>
      <c r="M107" s="674"/>
      <c r="N107" s="187"/>
      <c r="O107" s="688">
        <v>0.15</v>
      </c>
      <c r="P107" s="187">
        <f>G107*O107</f>
        <v>872.25</v>
      </c>
      <c r="Q107" s="189"/>
      <c r="R107" s="187">
        <f>G107+I107+K107+L107+N107+P107+Q107</f>
        <v>6687.25</v>
      </c>
      <c r="S107" s="187"/>
      <c r="T107" s="187">
        <v>0.5</v>
      </c>
      <c r="U107" s="182"/>
      <c r="V107" s="688"/>
      <c r="W107" s="182"/>
      <c r="X107" s="682">
        <v>4</v>
      </c>
      <c r="Y107" s="688">
        <v>0.1</v>
      </c>
      <c r="Z107" s="187">
        <f>R107*Y107</f>
        <v>668.72500000000002</v>
      </c>
      <c r="AA107" s="192">
        <f>AH107</f>
        <v>322.01249999999982</v>
      </c>
      <c r="AB107" s="187">
        <f>(R107+Z107)*T107+AA107</f>
        <v>4000</v>
      </c>
      <c r="AC107" s="689">
        <f t="shared" si="116"/>
        <v>6000</v>
      </c>
      <c r="AD107" s="689">
        <f>AB107+AC107</f>
        <v>10000</v>
      </c>
      <c r="AE107" s="190">
        <f>20000*T107</f>
        <v>10000</v>
      </c>
      <c r="AF107" s="190">
        <f>AE107-AB107</f>
        <v>6000</v>
      </c>
      <c r="AG107" s="689">
        <f>8000*T107</f>
        <v>4000</v>
      </c>
      <c r="AH107" s="190">
        <f>AG107-(R107+Z107)*T107</f>
        <v>322.01249999999982</v>
      </c>
      <c r="AI107" s="191">
        <f>G107*S107</f>
        <v>0</v>
      </c>
      <c r="AJ107" s="191">
        <f t="shared" si="130"/>
        <v>2907.5</v>
      </c>
      <c r="AK107" s="191">
        <f>R107*T107</f>
        <v>3343.625</v>
      </c>
      <c r="AL107" s="191">
        <f t="shared" si="132"/>
        <v>3343.625</v>
      </c>
      <c r="AM107" s="191"/>
      <c r="AN107" s="191"/>
      <c r="AO107" s="193"/>
      <c r="AP107" s="193"/>
      <c r="AQ107" s="193"/>
      <c r="AR107" s="193"/>
      <c r="AS107" s="193"/>
      <c r="AT107" s="197"/>
      <c r="AU107" s="197"/>
      <c r="AV107" s="191"/>
      <c r="AW107" s="236">
        <f>R107*T107</f>
        <v>3343.625</v>
      </c>
      <c r="AX107" s="236"/>
      <c r="AY107" s="619"/>
      <c r="AZ107" s="619"/>
      <c r="BA107" s="619"/>
    </row>
    <row r="108" spans="2:53" s="69" customFormat="1" ht="87.75">
      <c r="B108" s="660">
        <f t="shared" si="92"/>
        <v>74</v>
      </c>
      <c r="C108" s="185" t="s">
        <v>1668</v>
      </c>
      <c r="D108" s="186" t="s">
        <v>232</v>
      </c>
      <c r="E108" s="660" t="s">
        <v>1669</v>
      </c>
      <c r="F108" s="660">
        <v>12</v>
      </c>
      <c r="G108" s="187">
        <v>6773</v>
      </c>
      <c r="H108" s="674"/>
      <c r="I108" s="660"/>
      <c r="J108" s="674"/>
      <c r="K108" s="660"/>
      <c r="L108" s="660"/>
      <c r="M108" s="674"/>
      <c r="N108" s="187"/>
      <c r="O108" s="688">
        <v>0.15</v>
      </c>
      <c r="P108" s="187">
        <f>G108*O108</f>
        <v>1015.9499999999999</v>
      </c>
      <c r="Q108" s="189"/>
      <c r="R108" s="187">
        <f t="shared" si="113"/>
        <v>7788.95</v>
      </c>
      <c r="S108" s="187"/>
      <c r="T108" s="187">
        <v>0.25</v>
      </c>
      <c r="U108" s="182"/>
      <c r="V108" s="688"/>
      <c r="W108" s="182"/>
      <c r="X108" s="682">
        <v>25</v>
      </c>
      <c r="Y108" s="688">
        <v>0.3</v>
      </c>
      <c r="Z108" s="187">
        <f t="shared" si="114"/>
        <v>2336.6849999999999</v>
      </c>
      <c r="AA108" s="187"/>
      <c r="AB108" s="187">
        <f>(R108+Z108)*T108+AA108</f>
        <v>2531.4087500000001</v>
      </c>
      <c r="AC108" s="689">
        <f>AF108</f>
        <v>2468.5912499999999</v>
      </c>
      <c r="AD108" s="689">
        <f>AB108+AC108</f>
        <v>5000</v>
      </c>
      <c r="AE108" s="190">
        <f>20000*T108</f>
        <v>5000</v>
      </c>
      <c r="AF108" s="190">
        <f>AE108-AB108</f>
        <v>2468.5912499999999</v>
      </c>
      <c r="AG108" s="689">
        <f>8000*T108</f>
        <v>2000</v>
      </c>
      <c r="AH108" s="190">
        <f>AG108-(R108+Z108)*T108</f>
        <v>-531.40875000000005</v>
      </c>
      <c r="AI108" s="191">
        <f>G108*T108</f>
        <v>1693.25</v>
      </c>
      <c r="AJ108" s="191">
        <f t="shared" si="130"/>
        <v>1693.25</v>
      </c>
      <c r="AK108" s="191">
        <f>R108*T108</f>
        <v>1947.2375</v>
      </c>
      <c r="AL108" s="191">
        <f>R108*T108</f>
        <v>1947.2375</v>
      </c>
      <c r="AM108" s="191">
        <f>AK108-AI108</f>
        <v>253.98749999999995</v>
      </c>
      <c r="AN108" s="191">
        <f t="shared" si="120"/>
        <v>253.98749999999995</v>
      </c>
      <c r="AO108" s="193">
        <f>Z108*T108</f>
        <v>584.17124999999999</v>
      </c>
      <c r="AP108" s="193">
        <f t="shared" si="122"/>
        <v>584.17124999999999</v>
      </c>
      <c r="AQ108" s="193">
        <f>AA108</f>
        <v>0</v>
      </c>
      <c r="AR108" s="193">
        <f>W108*S108</f>
        <v>0</v>
      </c>
      <c r="AS108" s="193">
        <f>W108*T108</f>
        <v>0</v>
      </c>
      <c r="AT108" s="197">
        <f t="shared" ref="AT108:AU110" si="133">AK108</f>
        <v>1947.2375</v>
      </c>
      <c r="AU108" s="197">
        <f t="shared" si="133"/>
        <v>1947.2375</v>
      </c>
      <c r="AV108" s="191"/>
      <c r="AW108" s="236">
        <f>R108*T108</f>
        <v>1947.2375</v>
      </c>
      <c r="AX108" s="236"/>
      <c r="AY108" s="619"/>
      <c r="AZ108" s="619"/>
      <c r="BA108" s="619"/>
    </row>
    <row r="109" spans="2:53" s="69" customFormat="1" ht="58.5">
      <c r="B109" s="660">
        <f t="shared" si="92"/>
        <v>75</v>
      </c>
      <c r="C109" s="185" t="s">
        <v>1670</v>
      </c>
      <c r="D109" s="186" t="s">
        <v>233</v>
      </c>
      <c r="E109" s="660" t="s">
        <v>1671</v>
      </c>
      <c r="F109" s="660">
        <v>12</v>
      </c>
      <c r="G109" s="187">
        <v>6773</v>
      </c>
      <c r="H109" s="687"/>
      <c r="I109" s="187"/>
      <c r="J109" s="687"/>
      <c r="K109" s="187"/>
      <c r="L109" s="187"/>
      <c r="M109" s="687"/>
      <c r="N109" s="187"/>
      <c r="O109" s="687"/>
      <c r="P109" s="187"/>
      <c r="Q109" s="187"/>
      <c r="R109" s="187">
        <f t="shared" si="113"/>
        <v>6773</v>
      </c>
      <c r="S109" s="187"/>
      <c r="T109" s="187">
        <v>0.5</v>
      </c>
      <c r="U109" s="187"/>
      <c r="V109" s="687"/>
      <c r="W109" s="187"/>
      <c r="X109" s="692">
        <v>25</v>
      </c>
      <c r="Y109" s="688">
        <v>0.3</v>
      </c>
      <c r="Z109" s="187">
        <f t="shared" si="114"/>
        <v>2031.8999999999999</v>
      </c>
      <c r="AA109" s="187"/>
      <c r="AB109" s="187">
        <f>(R109+Z109)*T109+AA109</f>
        <v>4402.45</v>
      </c>
      <c r="AC109" s="689">
        <f>AF109</f>
        <v>5597.55</v>
      </c>
      <c r="AD109" s="689">
        <f>AB109+AC109</f>
        <v>10000</v>
      </c>
      <c r="AE109" s="190">
        <f>20000*T109</f>
        <v>10000</v>
      </c>
      <c r="AF109" s="190">
        <f>AE109-AB109</f>
        <v>5597.55</v>
      </c>
      <c r="AG109" s="689">
        <f>8000*T109</f>
        <v>4000</v>
      </c>
      <c r="AH109" s="190">
        <f>AG109-((R109+Z109)*T109)</f>
        <v>-402.44999999999982</v>
      </c>
      <c r="AI109" s="191">
        <f>G109*S109</f>
        <v>0</v>
      </c>
      <c r="AJ109" s="191">
        <f t="shared" si="130"/>
        <v>3386.5</v>
      </c>
      <c r="AK109" s="191">
        <f>R109*S109</f>
        <v>0</v>
      </c>
      <c r="AL109" s="191">
        <f>R109*T109</f>
        <v>3386.5</v>
      </c>
      <c r="AM109" s="191">
        <f>AK109-AI109</f>
        <v>0</v>
      </c>
      <c r="AN109" s="191">
        <f t="shared" si="120"/>
        <v>0</v>
      </c>
      <c r="AO109" s="193">
        <f>Z109*S109</f>
        <v>0</v>
      </c>
      <c r="AP109" s="193">
        <f t="shared" si="122"/>
        <v>1015.9499999999999</v>
      </c>
      <c r="AQ109" s="193">
        <f>AA109</f>
        <v>0</v>
      </c>
      <c r="AR109" s="193">
        <f>W109*S109</f>
        <v>0</v>
      </c>
      <c r="AS109" s="193">
        <f>W109*T109</f>
        <v>0</v>
      </c>
      <c r="AT109" s="197">
        <f t="shared" si="133"/>
        <v>0</v>
      </c>
      <c r="AU109" s="197">
        <f t="shared" si="133"/>
        <v>3386.5</v>
      </c>
      <c r="AV109" s="191"/>
      <c r="AW109" s="236">
        <f>R109*T109</f>
        <v>3386.5</v>
      </c>
      <c r="AX109" s="236"/>
      <c r="AY109" s="619"/>
      <c r="AZ109" s="619"/>
      <c r="BA109" s="619"/>
    </row>
    <row r="110" spans="2:53" s="69" customFormat="1" ht="33">
      <c r="B110" s="660">
        <f t="shared" si="92"/>
        <v>76</v>
      </c>
      <c r="C110" s="185" t="s">
        <v>1670</v>
      </c>
      <c r="D110" s="186"/>
      <c r="E110" s="660"/>
      <c r="F110" s="660"/>
      <c r="G110" s="187"/>
      <c r="H110" s="687"/>
      <c r="I110" s="187"/>
      <c r="J110" s="687"/>
      <c r="K110" s="187"/>
      <c r="L110" s="187"/>
      <c r="M110" s="687"/>
      <c r="N110" s="187"/>
      <c r="O110" s="687"/>
      <c r="P110" s="187"/>
      <c r="Q110" s="187"/>
      <c r="R110" s="187">
        <f t="shared" si="113"/>
        <v>0</v>
      </c>
      <c r="S110" s="187"/>
      <c r="T110" s="187"/>
      <c r="U110" s="187"/>
      <c r="V110" s="687"/>
      <c r="W110" s="187"/>
      <c r="X110" s="692"/>
      <c r="Y110" s="688">
        <v>0.3</v>
      </c>
      <c r="Z110" s="187">
        <f t="shared" si="114"/>
        <v>0</v>
      </c>
      <c r="AA110" s="187"/>
      <c r="AB110" s="187">
        <f>(R110+Z110)*S110</f>
        <v>0</v>
      </c>
      <c r="AC110" s="689">
        <f>AF110</f>
        <v>0</v>
      </c>
      <c r="AD110" s="689">
        <f>AB110+AC110</f>
        <v>0</v>
      </c>
      <c r="AE110" s="190">
        <f>20000*S110</f>
        <v>0</v>
      </c>
      <c r="AF110" s="190">
        <f>AE110-AB110</f>
        <v>0</v>
      </c>
      <c r="AG110" s="689">
        <f>7100*S110</f>
        <v>0</v>
      </c>
      <c r="AH110" s="190">
        <f>AG110-((R110+Z110)*T110)</f>
        <v>0</v>
      </c>
      <c r="AI110" s="191">
        <f>G110*S110</f>
        <v>0</v>
      </c>
      <c r="AJ110" s="191">
        <f t="shared" si="130"/>
        <v>0</v>
      </c>
      <c r="AK110" s="191">
        <f>R110*S110</f>
        <v>0</v>
      </c>
      <c r="AL110" s="191">
        <f>R110*T110</f>
        <v>0</v>
      </c>
      <c r="AM110" s="191">
        <f>AK110-AI110</f>
        <v>0</v>
      </c>
      <c r="AN110" s="191">
        <f t="shared" si="120"/>
        <v>0</v>
      </c>
      <c r="AO110" s="193">
        <f>Z110*S110</f>
        <v>0</v>
      </c>
      <c r="AP110" s="193">
        <f t="shared" si="122"/>
        <v>0</v>
      </c>
      <c r="AQ110" s="193">
        <f>AA110</f>
        <v>0</v>
      </c>
      <c r="AR110" s="193">
        <f>W110*S110</f>
        <v>0</v>
      </c>
      <c r="AS110" s="193">
        <f>W110*T110</f>
        <v>0</v>
      </c>
      <c r="AT110" s="197">
        <f t="shared" si="133"/>
        <v>0</v>
      </c>
      <c r="AU110" s="197">
        <f t="shared" si="133"/>
        <v>0</v>
      </c>
      <c r="AV110" s="191"/>
      <c r="AW110" s="236">
        <f>R110*S110</f>
        <v>0</v>
      </c>
      <c r="AX110" s="236"/>
      <c r="AY110" s="619"/>
      <c r="AZ110" s="619"/>
      <c r="BA110" s="619"/>
    </row>
    <row r="111" spans="2:53" s="69" customFormat="1" ht="58.5">
      <c r="B111" s="660">
        <f>B109+1</f>
        <v>76</v>
      </c>
      <c r="C111" s="185" t="s">
        <v>1672</v>
      </c>
      <c r="D111" s="186" t="s">
        <v>234</v>
      </c>
      <c r="E111" s="660" t="s">
        <v>1673</v>
      </c>
      <c r="F111" s="660">
        <v>13</v>
      </c>
      <c r="G111" s="187">
        <v>7253</v>
      </c>
      <c r="H111" s="687"/>
      <c r="I111" s="187"/>
      <c r="J111" s="687"/>
      <c r="K111" s="187"/>
      <c r="L111" s="187"/>
      <c r="M111" s="687"/>
      <c r="N111" s="187"/>
      <c r="O111" s="688">
        <v>0.15</v>
      </c>
      <c r="P111" s="187">
        <f>G111*O111</f>
        <v>1087.95</v>
      </c>
      <c r="Q111" s="189"/>
      <c r="R111" s="187">
        <f t="shared" si="113"/>
        <v>8340.9500000000007</v>
      </c>
      <c r="S111" s="187">
        <v>1</v>
      </c>
      <c r="T111" s="187"/>
      <c r="U111" s="187"/>
      <c r="V111" s="688"/>
      <c r="W111" s="187"/>
      <c r="X111" s="769">
        <v>26</v>
      </c>
      <c r="Y111" s="688">
        <v>0.3</v>
      </c>
      <c r="Z111" s="187">
        <f t="shared" si="114"/>
        <v>2502.2850000000003</v>
      </c>
      <c r="AA111" s="187"/>
      <c r="AB111" s="187">
        <f>(R111+Z111)*S111</f>
        <v>10843.235000000001</v>
      </c>
      <c r="AC111" s="689">
        <f t="shared" si="116"/>
        <v>9156.7649999999994</v>
      </c>
      <c r="AD111" s="689">
        <f t="shared" si="117"/>
        <v>20000</v>
      </c>
      <c r="AE111" s="190">
        <f>20000*S111</f>
        <v>20000</v>
      </c>
      <c r="AF111" s="190">
        <f t="shared" si="118"/>
        <v>9156.7649999999994</v>
      </c>
      <c r="AG111" s="689">
        <f>8000*S111</f>
        <v>8000</v>
      </c>
      <c r="AH111" s="190">
        <f>AG111-((R111+Z111)*S111)</f>
        <v>-2843.2350000000006</v>
      </c>
      <c r="AI111" s="191">
        <f>G111*S111</f>
        <v>7253</v>
      </c>
      <c r="AJ111" s="191">
        <f t="shared" si="130"/>
        <v>0</v>
      </c>
      <c r="AK111" s="191">
        <f>R111*S111</f>
        <v>8340.9500000000007</v>
      </c>
      <c r="AL111" s="191">
        <f t="shared" ref="AL111:AL120" si="134">R111*T111</f>
        <v>0</v>
      </c>
      <c r="AM111" s="191">
        <f t="shared" si="120"/>
        <v>1087.9500000000007</v>
      </c>
      <c r="AN111" s="191">
        <f t="shared" si="120"/>
        <v>0</v>
      </c>
      <c r="AO111" s="193">
        <f t="shared" si="121"/>
        <v>2502.2850000000003</v>
      </c>
      <c r="AP111" s="193">
        <f t="shared" si="122"/>
        <v>0</v>
      </c>
      <c r="AQ111" s="193">
        <f t="shared" si="123"/>
        <v>0</v>
      </c>
      <c r="AR111" s="193">
        <f t="shared" si="124"/>
        <v>0</v>
      </c>
      <c r="AS111" s="193">
        <f t="shared" si="125"/>
        <v>0</v>
      </c>
      <c r="AT111" s="197">
        <f t="shared" si="111"/>
        <v>8340.9500000000007</v>
      </c>
      <c r="AU111" s="197">
        <f t="shared" si="111"/>
        <v>0</v>
      </c>
      <c r="AV111" s="191"/>
      <c r="AW111" s="236">
        <f>R111*S111</f>
        <v>8340.9500000000007</v>
      </c>
      <c r="AX111" s="236"/>
      <c r="AY111" s="619"/>
      <c r="AZ111" s="619"/>
      <c r="BA111" s="619"/>
    </row>
    <row r="112" spans="2:53" s="69" customFormat="1" ht="33">
      <c r="B112" s="660"/>
      <c r="C112" s="185"/>
      <c r="D112" s="186"/>
      <c r="E112" s="660"/>
      <c r="F112" s="660"/>
      <c r="G112" s="187"/>
      <c r="H112" s="674"/>
      <c r="I112" s="660"/>
      <c r="J112" s="674"/>
      <c r="K112" s="660"/>
      <c r="L112" s="660"/>
      <c r="M112" s="674"/>
      <c r="N112" s="187"/>
      <c r="O112" s="688"/>
      <c r="P112" s="187">
        <f>G112*O112</f>
        <v>0</v>
      </c>
      <c r="Q112" s="189"/>
      <c r="R112" s="187">
        <f t="shared" si="113"/>
        <v>0</v>
      </c>
      <c r="S112" s="187"/>
      <c r="T112" s="187"/>
      <c r="U112" s="182"/>
      <c r="V112" s="688"/>
      <c r="W112" s="182"/>
      <c r="X112" s="682"/>
      <c r="Y112" s="688"/>
      <c r="Z112" s="187">
        <f>R112*Y112</f>
        <v>0</v>
      </c>
      <c r="AA112" s="192"/>
      <c r="AB112" s="187">
        <f>(R112+Z112)*T112+AA112</f>
        <v>0</v>
      </c>
      <c r="AC112" s="689">
        <f t="shared" si="116"/>
        <v>0</v>
      </c>
      <c r="AD112" s="689">
        <f t="shared" si="117"/>
        <v>0</v>
      </c>
      <c r="AE112" s="190">
        <f>20000*T112</f>
        <v>0</v>
      </c>
      <c r="AF112" s="190">
        <f t="shared" si="118"/>
        <v>0</v>
      </c>
      <c r="AG112" s="689">
        <f>8000*T112</f>
        <v>0</v>
      </c>
      <c r="AH112" s="190">
        <f>AG112-((R112+Z112)*T112)</f>
        <v>0</v>
      </c>
      <c r="AI112" s="191">
        <f>G112*T112</f>
        <v>0</v>
      </c>
      <c r="AJ112" s="191">
        <f t="shared" si="130"/>
        <v>0</v>
      </c>
      <c r="AK112" s="191">
        <f>R112*T112</f>
        <v>0</v>
      </c>
      <c r="AL112" s="191">
        <f t="shared" si="134"/>
        <v>0</v>
      </c>
      <c r="AM112" s="191">
        <f t="shared" ref="AM112:AN114" si="135">AK112-AI112</f>
        <v>0</v>
      </c>
      <c r="AN112" s="191">
        <f t="shared" si="135"/>
        <v>0</v>
      </c>
      <c r="AO112" s="193">
        <f t="shared" si="121"/>
        <v>0</v>
      </c>
      <c r="AP112" s="193">
        <f t="shared" si="122"/>
        <v>0</v>
      </c>
      <c r="AQ112" s="193">
        <f t="shared" si="123"/>
        <v>0</v>
      </c>
      <c r="AR112" s="193">
        <f t="shared" si="124"/>
        <v>0</v>
      </c>
      <c r="AS112" s="193">
        <f t="shared" si="125"/>
        <v>0</v>
      </c>
      <c r="AT112" s="197">
        <f>AK112</f>
        <v>0</v>
      </c>
      <c r="AU112" s="197">
        <f t="shared" si="111"/>
        <v>0</v>
      </c>
      <c r="AV112" s="191"/>
      <c r="AW112" s="236">
        <f>R112*T112</f>
        <v>0</v>
      </c>
      <c r="AX112" s="236"/>
      <c r="AY112" s="619"/>
      <c r="AZ112" s="619"/>
      <c r="BA112" s="619"/>
    </row>
    <row r="113" spans="2:53" s="69" customFormat="1" ht="58.5">
      <c r="B113" s="660">
        <f>B111+1</f>
        <v>77</v>
      </c>
      <c r="C113" s="185" t="s">
        <v>1010</v>
      </c>
      <c r="D113" s="186" t="s">
        <v>235</v>
      </c>
      <c r="E113" s="660" t="s">
        <v>992</v>
      </c>
      <c r="F113" s="660">
        <v>13</v>
      </c>
      <c r="G113" s="187">
        <v>7253</v>
      </c>
      <c r="H113" s="687"/>
      <c r="I113" s="187"/>
      <c r="J113" s="687"/>
      <c r="K113" s="187"/>
      <c r="L113" s="187"/>
      <c r="M113" s="687"/>
      <c r="N113" s="187"/>
      <c r="O113" s="687"/>
      <c r="P113" s="187"/>
      <c r="Q113" s="187"/>
      <c r="R113" s="187">
        <f>G113+I113+K113+L113+N113+P113+Q113</f>
        <v>7253</v>
      </c>
      <c r="S113" s="187">
        <v>1</v>
      </c>
      <c r="T113" s="187"/>
      <c r="U113" s="187"/>
      <c r="V113" s="687"/>
      <c r="W113" s="187"/>
      <c r="X113" s="674">
        <v>23</v>
      </c>
      <c r="Y113" s="688">
        <v>0.3</v>
      </c>
      <c r="Z113" s="187">
        <f>R113*Y113</f>
        <v>2175.9</v>
      </c>
      <c r="AA113" s="187"/>
      <c r="AB113" s="187">
        <f>(R113+Z113)*S113</f>
        <v>9428.9</v>
      </c>
      <c r="AC113" s="689">
        <f t="shared" si="116"/>
        <v>10571.1</v>
      </c>
      <c r="AD113" s="689">
        <f t="shared" si="117"/>
        <v>20000</v>
      </c>
      <c r="AE113" s="190">
        <f>20000*S113</f>
        <v>20000</v>
      </c>
      <c r="AF113" s="190">
        <f t="shared" si="118"/>
        <v>10571.1</v>
      </c>
      <c r="AG113" s="689">
        <f>8000*S113</f>
        <v>8000</v>
      </c>
      <c r="AH113" s="190">
        <f>AG113-((R113+Z113)*S113)</f>
        <v>-1428.8999999999996</v>
      </c>
      <c r="AI113" s="191">
        <f>G113*S113</f>
        <v>7253</v>
      </c>
      <c r="AJ113" s="191">
        <f t="shared" si="130"/>
        <v>0</v>
      </c>
      <c r="AK113" s="191">
        <f>R113*S113</f>
        <v>7253</v>
      </c>
      <c r="AL113" s="191">
        <f t="shared" si="134"/>
        <v>0</v>
      </c>
      <c r="AM113" s="191">
        <f t="shared" si="135"/>
        <v>0</v>
      </c>
      <c r="AN113" s="191">
        <f t="shared" si="135"/>
        <v>0</v>
      </c>
      <c r="AO113" s="193">
        <f>Z113*S113</f>
        <v>2175.9</v>
      </c>
      <c r="AP113" s="193">
        <f>Z113*T113</f>
        <v>0</v>
      </c>
      <c r="AQ113" s="193">
        <f>AA113</f>
        <v>0</v>
      </c>
      <c r="AR113" s="193">
        <f>W113*S113</f>
        <v>0</v>
      </c>
      <c r="AS113" s="193">
        <f>W113*T113</f>
        <v>0</v>
      </c>
      <c r="AT113" s="197">
        <f t="shared" si="111"/>
        <v>7253</v>
      </c>
      <c r="AU113" s="197">
        <f>AL113</f>
        <v>0</v>
      </c>
      <c r="AV113" s="191"/>
      <c r="AW113" s="236">
        <f>R113*S113</f>
        <v>7253</v>
      </c>
      <c r="AX113" s="236"/>
      <c r="AY113" s="619"/>
      <c r="AZ113" s="619"/>
      <c r="BA113" s="619"/>
    </row>
    <row r="114" spans="2:53" s="69" customFormat="1" ht="33">
      <c r="B114" s="660"/>
      <c r="C114" s="185"/>
      <c r="D114" s="186"/>
      <c r="E114" s="660"/>
      <c r="F114" s="660"/>
      <c r="G114" s="187"/>
      <c r="H114" s="674"/>
      <c r="I114" s="660"/>
      <c r="J114" s="688"/>
      <c r="K114" s="192"/>
      <c r="L114" s="660"/>
      <c r="M114" s="674"/>
      <c r="N114" s="187"/>
      <c r="O114" s="674"/>
      <c r="P114" s="660"/>
      <c r="Q114" s="660"/>
      <c r="R114" s="187">
        <f t="shared" si="113"/>
        <v>0</v>
      </c>
      <c r="S114" s="187"/>
      <c r="T114" s="187"/>
      <c r="U114" s="660"/>
      <c r="V114" s="674"/>
      <c r="W114" s="660"/>
      <c r="X114" s="674"/>
      <c r="Y114" s="688"/>
      <c r="Z114" s="187">
        <f t="shared" si="114"/>
        <v>0</v>
      </c>
      <c r="AA114" s="187">
        <f>AH114</f>
        <v>0</v>
      </c>
      <c r="AB114" s="187">
        <f>(R114+Z114)*S114+AA114</f>
        <v>0</v>
      </c>
      <c r="AC114" s="689">
        <f t="shared" si="116"/>
        <v>0</v>
      </c>
      <c r="AD114" s="689">
        <f t="shared" si="117"/>
        <v>0</v>
      </c>
      <c r="AE114" s="190">
        <f>20000*S114</f>
        <v>0</v>
      </c>
      <c r="AF114" s="190">
        <f>AE114-AB114</f>
        <v>0</v>
      </c>
      <c r="AG114" s="689">
        <f>8000*S114</f>
        <v>0</v>
      </c>
      <c r="AH114" s="190">
        <f>AG114-((R114+Z114)*S114)</f>
        <v>0</v>
      </c>
      <c r="AI114" s="191">
        <f>G114*T114</f>
        <v>0</v>
      </c>
      <c r="AJ114" s="191">
        <f t="shared" si="130"/>
        <v>0</v>
      </c>
      <c r="AK114" s="191">
        <f>R114*S114</f>
        <v>0</v>
      </c>
      <c r="AL114" s="191">
        <f t="shared" si="134"/>
        <v>0</v>
      </c>
      <c r="AM114" s="191">
        <f t="shared" si="135"/>
        <v>0</v>
      </c>
      <c r="AN114" s="191">
        <f t="shared" si="135"/>
        <v>0</v>
      </c>
      <c r="AO114" s="193">
        <f>Z114*S114</f>
        <v>0</v>
      </c>
      <c r="AP114" s="193">
        <f>Z114*T114</f>
        <v>0</v>
      </c>
      <c r="AQ114" s="193">
        <f>AA114</f>
        <v>0</v>
      </c>
      <c r="AR114" s="193">
        <f>W114*S114</f>
        <v>0</v>
      </c>
      <c r="AS114" s="193">
        <f>W114*T114</f>
        <v>0</v>
      </c>
      <c r="AT114" s="197">
        <f t="shared" si="111"/>
        <v>0</v>
      </c>
      <c r="AU114" s="197">
        <f t="shared" si="111"/>
        <v>0</v>
      </c>
      <c r="AV114" s="191"/>
      <c r="AW114" s="236">
        <f>R114*S114</f>
        <v>0</v>
      </c>
      <c r="AX114" s="236"/>
      <c r="AY114" s="619"/>
      <c r="AZ114" s="619"/>
      <c r="BA114" s="619"/>
    </row>
    <row r="115" spans="2:53" s="69" customFormat="1" ht="58.5">
      <c r="B115" s="660">
        <f>B113+1</f>
        <v>78</v>
      </c>
      <c r="C115" s="185" t="s">
        <v>995</v>
      </c>
      <c r="D115" s="186" t="s">
        <v>236</v>
      </c>
      <c r="E115" s="660" t="s">
        <v>237</v>
      </c>
      <c r="F115" s="660">
        <v>11</v>
      </c>
      <c r="G115" s="187">
        <v>6294</v>
      </c>
      <c r="H115" s="674"/>
      <c r="I115" s="660"/>
      <c r="J115" s="688"/>
      <c r="K115" s="192"/>
      <c r="L115" s="660"/>
      <c r="M115" s="674"/>
      <c r="N115" s="187"/>
      <c r="O115" s="674"/>
      <c r="P115" s="660"/>
      <c r="Q115" s="660"/>
      <c r="R115" s="187">
        <f t="shared" si="113"/>
        <v>6294</v>
      </c>
      <c r="S115" s="187">
        <v>1</v>
      </c>
      <c r="T115" s="187"/>
      <c r="U115" s="660"/>
      <c r="V115" s="674"/>
      <c r="W115" s="660"/>
      <c r="X115" s="674">
        <v>1</v>
      </c>
      <c r="Y115" s="688">
        <v>0</v>
      </c>
      <c r="Z115" s="187">
        <f t="shared" si="114"/>
        <v>0</v>
      </c>
      <c r="AA115" s="187">
        <f>AH115</f>
        <v>1706</v>
      </c>
      <c r="AB115" s="187">
        <f>(R115+Z115)*S115+AA115</f>
        <v>8000</v>
      </c>
      <c r="AC115" s="689">
        <f>AF115</f>
        <v>12000</v>
      </c>
      <c r="AD115" s="689">
        <f>AB115+AC115</f>
        <v>20000</v>
      </c>
      <c r="AE115" s="190">
        <f>20000*S115</f>
        <v>20000</v>
      </c>
      <c r="AF115" s="190">
        <f>AE115-AB115</f>
        <v>12000</v>
      </c>
      <c r="AG115" s="689">
        <f>8000*S115</f>
        <v>8000</v>
      </c>
      <c r="AH115" s="190">
        <f>AG115-((R115+Z115)*S115)</f>
        <v>1706</v>
      </c>
      <c r="AI115" s="191">
        <f>G115*S115</f>
        <v>6294</v>
      </c>
      <c r="AJ115" s="191">
        <f t="shared" si="130"/>
        <v>0</v>
      </c>
      <c r="AK115" s="191"/>
      <c r="AL115" s="191">
        <f t="shared" si="134"/>
        <v>0</v>
      </c>
      <c r="AM115" s="191"/>
      <c r="AN115" s="191">
        <f>AL115-AJ115</f>
        <v>0</v>
      </c>
      <c r="AO115" s="193"/>
      <c r="AP115" s="193">
        <f>Z115*T115</f>
        <v>0</v>
      </c>
      <c r="AQ115" s="193"/>
      <c r="AR115" s="193"/>
      <c r="AS115" s="193">
        <f>W115*T115</f>
        <v>0</v>
      </c>
      <c r="AT115" s="197"/>
      <c r="AU115" s="197"/>
      <c r="AV115" s="191"/>
      <c r="AW115" s="236">
        <f>R115*S115</f>
        <v>6294</v>
      </c>
      <c r="AX115" s="236"/>
      <c r="AY115" s="619"/>
      <c r="AZ115" s="619"/>
      <c r="BA115" s="619"/>
    </row>
    <row r="116" spans="2:53" s="69" customFormat="1" ht="58.5">
      <c r="B116" s="660">
        <f t="shared" si="92"/>
        <v>79</v>
      </c>
      <c r="C116" s="185" t="s">
        <v>996</v>
      </c>
      <c r="D116" s="186" t="s">
        <v>238</v>
      </c>
      <c r="E116" s="660" t="s">
        <v>1686</v>
      </c>
      <c r="F116" s="660">
        <v>12</v>
      </c>
      <c r="G116" s="187">
        <v>6773</v>
      </c>
      <c r="H116" s="687"/>
      <c r="I116" s="187"/>
      <c r="J116" s="687"/>
      <c r="K116" s="187"/>
      <c r="L116" s="187"/>
      <c r="M116" s="687"/>
      <c r="N116" s="187"/>
      <c r="O116" s="687"/>
      <c r="P116" s="187"/>
      <c r="Q116" s="187"/>
      <c r="R116" s="187">
        <f t="shared" si="113"/>
        <v>6773</v>
      </c>
      <c r="S116" s="187">
        <v>1</v>
      </c>
      <c r="T116" s="187"/>
      <c r="U116" s="187"/>
      <c r="V116" s="687"/>
      <c r="W116" s="187"/>
      <c r="X116" s="692">
        <v>10</v>
      </c>
      <c r="Y116" s="688">
        <v>0.2</v>
      </c>
      <c r="Z116" s="187">
        <f t="shared" si="114"/>
        <v>1354.6000000000001</v>
      </c>
      <c r="AA116" s="187"/>
      <c r="AB116" s="187">
        <f>(R116+Z116)*S116+AA116</f>
        <v>8127.6</v>
      </c>
      <c r="AC116" s="689">
        <f t="shared" si="116"/>
        <v>11872.4</v>
      </c>
      <c r="AD116" s="689">
        <f t="shared" si="117"/>
        <v>20000</v>
      </c>
      <c r="AE116" s="190">
        <f>20000*S116</f>
        <v>20000</v>
      </c>
      <c r="AF116" s="190">
        <f t="shared" si="118"/>
        <v>11872.4</v>
      </c>
      <c r="AG116" s="689">
        <f>8000*S116</f>
        <v>8000</v>
      </c>
      <c r="AH116" s="190">
        <f>AG116-((R116+Z116)*S116)</f>
        <v>-127.60000000000036</v>
      </c>
      <c r="AI116" s="191">
        <f>G116*S116</f>
        <v>6773</v>
      </c>
      <c r="AJ116" s="191">
        <f t="shared" si="130"/>
        <v>0</v>
      </c>
      <c r="AK116" s="191">
        <f>R116*S116</f>
        <v>6773</v>
      </c>
      <c r="AL116" s="191">
        <f t="shared" si="134"/>
        <v>0</v>
      </c>
      <c r="AM116" s="191">
        <f t="shared" si="120"/>
        <v>0</v>
      </c>
      <c r="AN116" s="191">
        <f t="shared" si="120"/>
        <v>0</v>
      </c>
      <c r="AO116" s="193">
        <f t="shared" si="121"/>
        <v>1354.6000000000001</v>
      </c>
      <c r="AP116" s="193">
        <f t="shared" si="122"/>
        <v>0</v>
      </c>
      <c r="AQ116" s="193">
        <f t="shared" si="123"/>
        <v>0</v>
      </c>
      <c r="AR116" s="193">
        <f t="shared" si="124"/>
        <v>0</v>
      </c>
      <c r="AS116" s="193">
        <f t="shared" si="125"/>
        <v>0</v>
      </c>
      <c r="AT116" s="197">
        <f t="shared" si="111"/>
        <v>6773</v>
      </c>
      <c r="AU116" s="197">
        <f t="shared" si="111"/>
        <v>0</v>
      </c>
      <c r="AV116" s="191"/>
      <c r="AW116" s="236">
        <f>R116*S116</f>
        <v>6773</v>
      </c>
      <c r="AX116" s="236"/>
      <c r="AY116" s="619"/>
      <c r="AZ116" s="619"/>
      <c r="BA116" s="619"/>
    </row>
    <row r="117" spans="2:53" s="69" customFormat="1" ht="33">
      <c r="B117" s="660">
        <f t="shared" si="92"/>
        <v>80</v>
      </c>
      <c r="C117" s="185" t="s">
        <v>996</v>
      </c>
      <c r="D117" s="186"/>
      <c r="E117" s="660" t="s">
        <v>1667</v>
      </c>
      <c r="F117" s="660">
        <v>11</v>
      </c>
      <c r="G117" s="187">
        <v>6294</v>
      </c>
      <c r="H117" s="687"/>
      <c r="I117" s="187"/>
      <c r="J117" s="687"/>
      <c r="K117" s="187"/>
      <c r="L117" s="187"/>
      <c r="M117" s="687"/>
      <c r="N117" s="187"/>
      <c r="O117" s="687"/>
      <c r="P117" s="187"/>
      <c r="Q117" s="187"/>
      <c r="R117" s="187">
        <f t="shared" si="113"/>
        <v>6294</v>
      </c>
      <c r="S117" s="187">
        <v>1</v>
      </c>
      <c r="T117" s="187"/>
      <c r="U117" s="187"/>
      <c r="V117" s="687"/>
      <c r="W117" s="187"/>
      <c r="X117" s="692"/>
      <c r="Y117" s="688">
        <v>0</v>
      </c>
      <c r="Z117" s="187">
        <f t="shared" si="114"/>
        <v>0</v>
      </c>
      <c r="AA117" s="187">
        <f>AH117</f>
        <v>1706</v>
      </c>
      <c r="AB117" s="187">
        <f>(R117+Z117)*S117+AA117</f>
        <v>8000</v>
      </c>
      <c r="AC117" s="689">
        <f t="shared" si="116"/>
        <v>12000</v>
      </c>
      <c r="AD117" s="689">
        <f t="shared" si="117"/>
        <v>20000</v>
      </c>
      <c r="AE117" s="190">
        <f>20000*S117</f>
        <v>20000</v>
      </c>
      <c r="AF117" s="190">
        <f t="shared" si="118"/>
        <v>12000</v>
      </c>
      <c r="AG117" s="689">
        <f>8000*S117</f>
        <v>8000</v>
      </c>
      <c r="AH117" s="190">
        <f>AG117-((R117+Z117)*S117)</f>
        <v>1706</v>
      </c>
      <c r="AI117" s="191"/>
      <c r="AJ117" s="191">
        <f t="shared" si="130"/>
        <v>0</v>
      </c>
      <c r="AK117" s="191"/>
      <c r="AL117" s="191">
        <f t="shared" si="134"/>
        <v>0</v>
      </c>
      <c r="AM117" s="191"/>
      <c r="AN117" s="191">
        <f t="shared" si="120"/>
        <v>0</v>
      </c>
      <c r="AO117" s="193"/>
      <c r="AP117" s="193"/>
      <c r="AQ117" s="193"/>
      <c r="AR117" s="193"/>
      <c r="AS117" s="193"/>
      <c r="AT117" s="197"/>
      <c r="AU117" s="197">
        <f t="shared" si="111"/>
        <v>0</v>
      </c>
      <c r="AV117" s="191"/>
      <c r="AW117" s="236">
        <f>R117*S117</f>
        <v>6294</v>
      </c>
      <c r="AX117" s="236"/>
      <c r="AY117" s="619"/>
      <c r="AZ117" s="619"/>
      <c r="BA117" s="619"/>
    </row>
    <row r="118" spans="2:53" s="69" customFormat="1" ht="33">
      <c r="B118" s="660">
        <f t="shared" si="92"/>
        <v>81</v>
      </c>
      <c r="C118" s="185" t="s">
        <v>1001</v>
      </c>
      <c r="D118" s="186" t="s">
        <v>239</v>
      </c>
      <c r="E118" s="660" t="s">
        <v>1661</v>
      </c>
      <c r="F118" s="660">
        <v>13</v>
      </c>
      <c r="G118" s="187">
        <v>7253</v>
      </c>
      <c r="H118" s="687"/>
      <c r="I118" s="187"/>
      <c r="J118" s="687"/>
      <c r="K118" s="187"/>
      <c r="L118" s="187"/>
      <c r="M118" s="687"/>
      <c r="N118" s="187"/>
      <c r="O118" s="687"/>
      <c r="P118" s="187"/>
      <c r="Q118" s="187"/>
      <c r="R118" s="187">
        <f t="shared" si="113"/>
        <v>7253</v>
      </c>
      <c r="S118" s="187"/>
      <c r="T118" s="187">
        <v>0.25</v>
      </c>
      <c r="U118" s="187"/>
      <c r="V118" s="687"/>
      <c r="W118" s="187"/>
      <c r="X118" s="692">
        <v>20</v>
      </c>
      <c r="Y118" s="688">
        <v>0.3</v>
      </c>
      <c r="Z118" s="187">
        <f t="shared" si="114"/>
        <v>2175.9</v>
      </c>
      <c r="AA118" s="187"/>
      <c r="AB118" s="187">
        <f>(R118+Z118)*T118+AA118</f>
        <v>2357.2249999999999</v>
      </c>
      <c r="AC118" s="689">
        <f t="shared" si="116"/>
        <v>2642.7750000000001</v>
      </c>
      <c r="AD118" s="689">
        <f t="shared" si="117"/>
        <v>5000</v>
      </c>
      <c r="AE118" s="190">
        <f>20000*T118</f>
        <v>5000</v>
      </c>
      <c r="AF118" s="190">
        <f t="shared" si="118"/>
        <v>2642.7750000000001</v>
      </c>
      <c r="AG118" s="689">
        <f>8000*T118</f>
        <v>2000</v>
      </c>
      <c r="AH118" s="190">
        <f>AG118-((R118+Z118)*T118)</f>
        <v>-357.22499999999991</v>
      </c>
      <c r="AI118" s="191">
        <f>G118*T118</f>
        <v>1813.25</v>
      </c>
      <c r="AJ118" s="191">
        <f t="shared" si="130"/>
        <v>1813.25</v>
      </c>
      <c r="AK118" s="191">
        <f>R118*S118</f>
        <v>0</v>
      </c>
      <c r="AL118" s="191">
        <f t="shared" si="134"/>
        <v>1813.25</v>
      </c>
      <c r="AM118" s="191">
        <f>AK118-AI118</f>
        <v>-1813.25</v>
      </c>
      <c r="AN118" s="191">
        <f>AL118-AJ118</f>
        <v>0</v>
      </c>
      <c r="AO118" s="193">
        <f>Z118*S118</f>
        <v>0</v>
      </c>
      <c r="AP118" s="193">
        <f>Z118*T118</f>
        <v>543.97500000000002</v>
      </c>
      <c r="AQ118" s="193">
        <f>AA118</f>
        <v>0</v>
      </c>
      <c r="AR118" s="193">
        <f>W118*S118</f>
        <v>0</v>
      </c>
      <c r="AS118" s="193">
        <f>W118*T118</f>
        <v>0</v>
      </c>
      <c r="AT118" s="197">
        <f t="shared" si="111"/>
        <v>0</v>
      </c>
      <c r="AU118" s="197">
        <f t="shared" si="111"/>
        <v>1813.25</v>
      </c>
      <c r="AV118" s="191"/>
      <c r="AW118" s="236">
        <f>R118*T118</f>
        <v>1813.25</v>
      </c>
      <c r="AX118" s="236"/>
      <c r="AY118" s="619"/>
      <c r="AZ118" s="619"/>
      <c r="BA118" s="619"/>
    </row>
    <row r="119" spans="2:53" s="69" customFormat="1" ht="58.5">
      <c r="B119" s="660">
        <f t="shared" si="92"/>
        <v>82</v>
      </c>
      <c r="C119" s="185" t="s">
        <v>1002</v>
      </c>
      <c r="D119" s="186" t="s">
        <v>240</v>
      </c>
      <c r="E119" s="660" t="s">
        <v>1696</v>
      </c>
      <c r="F119" s="660">
        <v>13</v>
      </c>
      <c r="G119" s="187">
        <v>7253</v>
      </c>
      <c r="H119" s="687"/>
      <c r="I119" s="187"/>
      <c r="J119" s="688"/>
      <c r="K119" s="192"/>
      <c r="L119" s="187"/>
      <c r="M119" s="687"/>
      <c r="N119" s="187"/>
      <c r="O119" s="687"/>
      <c r="P119" s="194"/>
      <c r="Q119" s="194"/>
      <c r="R119" s="187">
        <f>G119+I119+K119+L119+N119+P119+Q119</f>
        <v>7253</v>
      </c>
      <c r="S119" s="187">
        <v>1</v>
      </c>
      <c r="T119" s="187"/>
      <c r="U119" s="194"/>
      <c r="V119" s="692"/>
      <c r="W119" s="194"/>
      <c r="X119" s="692">
        <v>23</v>
      </c>
      <c r="Y119" s="688">
        <v>0.3</v>
      </c>
      <c r="Z119" s="187">
        <f t="shared" si="114"/>
        <v>2175.9</v>
      </c>
      <c r="AA119" s="187"/>
      <c r="AB119" s="187">
        <f>(R119+Z119)*S119+AA119</f>
        <v>9428.9</v>
      </c>
      <c r="AC119" s="689">
        <f t="shared" si="116"/>
        <v>10571.1</v>
      </c>
      <c r="AD119" s="689">
        <f t="shared" si="117"/>
        <v>20000</v>
      </c>
      <c r="AE119" s="190">
        <f>20000*S119</f>
        <v>20000</v>
      </c>
      <c r="AF119" s="190">
        <f t="shared" si="118"/>
        <v>10571.1</v>
      </c>
      <c r="AG119" s="689">
        <f>8000*S119</f>
        <v>8000</v>
      </c>
      <c r="AH119" s="190">
        <f>AG119-((R119+Z119)*S119)</f>
        <v>-1428.8999999999996</v>
      </c>
      <c r="AI119" s="191">
        <f>G119*S119</f>
        <v>7253</v>
      </c>
      <c r="AJ119" s="191">
        <f t="shared" si="130"/>
        <v>0</v>
      </c>
      <c r="AK119" s="191">
        <f>R119*S119</f>
        <v>7253</v>
      </c>
      <c r="AL119" s="191">
        <f t="shared" si="134"/>
        <v>0</v>
      </c>
      <c r="AM119" s="191">
        <f t="shared" si="120"/>
        <v>0</v>
      </c>
      <c r="AN119" s="191">
        <f t="shared" si="120"/>
        <v>0</v>
      </c>
      <c r="AO119" s="193">
        <f t="shared" si="121"/>
        <v>2175.9</v>
      </c>
      <c r="AP119" s="193">
        <f t="shared" si="122"/>
        <v>0</v>
      </c>
      <c r="AQ119" s="193">
        <f t="shared" si="123"/>
        <v>0</v>
      </c>
      <c r="AR119" s="193">
        <f t="shared" si="124"/>
        <v>0</v>
      </c>
      <c r="AS119" s="193">
        <f t="shared" si="125"/>
        <v>0</v>
      </c>
      <c r="AT119" s="197">
        <f t="shared" si="111"/>
        <v>7253</v>
      </c>
      <c r="AU119" s="197">
        <f t="shared" si="111"/>
        <v>0</v>
      </c>
      <c r="AV119" s="191"/>
      <c r="AW119" s="236">
        <f>R119*S119</f>
        <v>7253</v>
      </c>
      <c r="AX119" s="236"/>
      <c r="AY119" s="619"/>
      <c r="AZ119" s="619"/>
      <c r="BA119" s="619"/>
    </row>
    <row r="120" spans="2:53" s="69" customFormat="1" ht="58.5">
      <c r="B120" s="660">
        <f t="shared" si="92"/>
        <v>83</v>
      </c>
      <c r="C120" s="185" t="s">
        <v>1752</v>
      </c>
      <c r="D120" s="186" t="s">
        <v>1288</v>
      </c>
      <c r="E120" s="660" t="s">
        <v>1006</v>
      </c>
      <c r="F120" s="660">
        <v>13</v>
      </c>
      <c r="G120" s="187">
        <v>7253</v>
      </c>
      <c r="H120" s="687"/>
      <c r="I120" s="187"/>
      <c r="J120" s="688"/>
      <c r="K120" s="192"/>
      <c r="L120" s="187"/>
      <c r="M120" s="687"/>
      <c r="N120" s="187"/>
      <c r="O120" s="688">
        <v>0.15</v>
      </c>
      <c r="P120" s="187">
        <f>G120*O120</f>
        <v>1087.95</v>
      </c>
      <c r="Q120" s="194"/>
      <c r="R120" s="187">
        <f>G120+I120+K120+L120+N120+P120+Q120</f>
        <v>8340.9500000000007</v>
      </c>
      <c r="S120" s="187"/>
      <c r="T120" s="187">
        <v>0.25</v>
      </c>
      <c r="U120" s="194"/>
      <c r="V120" s="692"/>
      <c r="W120" s="194"/>
      <c r="X120" s="692">
        <v>28</v>
      </c>
      <c r="Y120" s="688">
        <v>0.3</v>
      </c>
      <c r="Z120" s="187">
        <f>R120*Y120</f>
        <v>2502.2850000000003</v>
      </c>
      <c r="AA120" s="187"/>
      <c r="AB120" s="187">
        <f>(R120+Z120)*T120+AA120</f>
        <v>2710.8087500000001</v>
      </c>
      <c r="AC120" s="689">
        <f t="shared" si="116"/>
        <v>2289.1912499999999</v>
      </c>
      <c r="AD120" s="689">
        <f t="shared" si="117"/>
        <v>5000</v>
      </c>
      <c r="AE120" s="190">
        <f>20000*T120</f>
        <v>5000</v>
      </c>
      <c r="AF120" s="190">
        <f>AE120-AB120</f>
        <v>2289.1912499999999</v>
      </c>
      <c r="AG120" s="689">
        <f>8000*T120</f>
        <v>2000</v>
      </c>
      <c r="AH120" s="190">
        <f>AG120-((R120+Z120)*T120)</f>
        <v>-710.80875000000015</v>
      </c>
      <c r="AI120" s="191">
        <f>G120*T120</f>
        <v>1813.25</v>
      </c>
      <c r="AJ120" s="191">
        <f t="shared" si="130"/>
        <v>1813.25</v>
      </c>
      <c r="AK120" s="191">
        <f>R120*S120</f>
        <v>0</v>
      </c>
      <c r="AL120" s="191">
        <f t="shared" si="134"/>
        <v>2085.2375000000002</v>
      </c>
      <c r="AM120" s="191">
        <f>AK120-AI120</f>
        <v>-1813.25</v>
      </c>
      <c r="AN120" s="191"/>
      <c r="AO120" s="193"/>
      <c r="AP120" s="193"/>
      <c r="AQ120" s="193"/>
      <c r="AR120" s="193"/>
      <c r="AS120" s="193"/>
      <c r="AT120" s="197"/>
      <c r="AU120" s="197"/>
      <c r="AV120" s="191"/>
      <c r="AW120" s="236">
        <f>R120*T120</f>
        <v>2085.2375000000002</v>
      </c>
      <c r="AX120" s="236"/>
      <c r="AY120" s="619"/>
      <c r="AZ120" s="619"/>
      <c r="BA120" s="619"/>
    </row>
    <row r="121" spans="2:53" s="69" customFormat="1" ht="31.5">
      <c r="B121" s="660"/>
      <c r="C121" s="168" t="s">
        <v>1662</v>
      </c>
      <c r="D121" s="195"/>
      <c r="E121" s="182"/>
      <c r="F121" s="181"/>
      <c r="G121" s="172">
        <f>SUM(G97:G120)</f>
        <v>140325</v>
      </c>
      <c r="H121" s="698"/>
      <c r="I121" s="172"/>
      <c r="J121" s="698"/>
      <c r="K121" s="172"/>
      <c r="L121" s="172"/>
      <c r="M121" s="698"/>
      <c r="N121" s="172"/>
      <c r="O121" s="698"/>
      <c r="P121" s="172"/>
      <c r="Q121" s="172"/>
      <c r="R121" s="172">
        <f>SUM(R97:R120)</f>
        <v>148815.85</v>
      </c>
      <c r="S121" s="171">
        <f>SUM(S97:S120)</f>
        <v>13</v>
      </c>
      <c r="T121" s="171">
        <f>SUM(T97:T120)</f>
        <v>2.75</v>
      </c>
      <c r="U121" s="172"/>
      <c r="V121" s="699"/>
      <c r="W121" s="172"/>
      <c r="X121" s="699"/>
      <c r="Y121" s="699"/>
      <c r="Z121" s="172">
        <f t="shared" ref="Z121:AH121" si="136">SUM(Z97:Z120)</f>
        <v>28707.335000000003</v>
      </c>
      <c r="AA121" s="172">
        <f t="shared" si="136"/>
        <v>9556.7000000000007</v>
      </c>
      <c r="AB121" s="171">
        <f t="shared" si="136"/>
        <v>142554.9975</v>
      </c>
      <c r="AC121" s="172">
        <f t="shared" si="136"/>
        <v>172445.0025</v>
      </c>
      <c r="AD121" s="172">
        <f t="shared" si="136"/>
        <v>315000</v>
      </c>
      <c r="AE121" s="172">
        <f t="shared" si="136"/>
        <v>315000</v>
      </c>
      <c r="AF121" s="172">
        <f t="shared" si="136"/>
        <v>172445.0025</v>
      </c>
      <c r="AG121" s="172">
        <f t="shared" si="136"/>
        <v>126000</v>
      </c>
      <c r="AH121" s="172">
        <f t="shared" si="136"/>
        <v>-6998.2975000000024</v>
      </c>
      <c r="AI121" s="172">
        <f t="shared" ref="AI121:AV121" si="137">SUM(AI97:AI119)</f>
        <v>89748.5</v>
      </c>
      <c r="AJ121" s="172">
        <f t="shared" si="137"/>
        <v>14880.25</v>
      </c>
      <c r="AK121" s="172">
        <f t="shared" si="137"/>
        <v>89845.387500000012</v>
      </c>
      <c r="AL121" s="172">
        <f t="shared" si="137"/>
        <v>16332.324999999999</v>
      </c>
      <c r="AM121" s="172">
        <f t="shared" si="137"/>
        <v>3047.2625000000007</v>
      </c>
      <c r="AN121" s="172">
        <f t="shared" si="137"/>
        <v>1015.9499999999996</v>
      </c>
      <c r="AO121" s="172">
        <f t="shared" si="137"/>
        <v>19186.563750000001</v>
      </c>
      <c r="AP121" s="172">
        <f t="shared" si="137"/>
        <v>3312.4387499999998</v>
      </c>
      <c r="AQ121" s="172">
        <f t="shared" si="137"/>
        <v>5396.1875</v>
      </c>
      <c r="AR121" s="172">
        <f t="shared" si="137"/>
        <v>0</v>
      </c>
      <c r="AS121" s="172">
        <f t="shared" si="137"/>
        <v>0</v>
      </c>
      <c r="AT121" s="172">
        <f t="shared" si="137"/>
        <v>86501.762500000012</v>
      </c>
      <c r="AU121" s="172">
        <f t="shared" si="137"/>
        <v>12988.7</v>
      </c>
      <c r="AV121" s="172">
        <f t="shared" si="137"/>
        <v>0</v>
      </c>
      <c r="AW121" s="172">
        <f>SUM(AW97:AW120)</f>
        <v>111291.87500000001</v>
      </c>
      <c r="AX121" s="172">
        <f>SUM(AX97:AX120)</f>
        <v>0</v>
      </c>
      <c r="AY121" s="619"/>
      <c r="AZ121" s="619"/>
      <c r="BA121" s="619"/>
    </row>
    <row r="122" spans="2:53" s="69" customFormat="1" ht="33">
      <c r="B122" s="660"/>
      <c r="C122" s="208" t="s">
        <v>1508</v>
      </c>
      <c r="D122" s="205"/>
      <c r="E122" s="206"/>
      <c r="F122" s="206"/>
      <c r="G122" s="206"/>
      <c r="H122" s="696"/>
      <c r="I122" s="206"/>
      <c r="J122" s="696"/>
      <c r="K122" s="206"/>
      <c r="L122" s="206"/>
      <c r="M122" s="696"/>
      <c r="N122" s="206"/>
      <c r="O122" s="696"/>
      <c r="P122" s="206"/>
      <c r="Q122" s="206"/>
      <c r="R122" s="206"/>
      <c r="S122" s="206"/>
      <c r="T122" s="206"/>
      <c r="U122" s="206"/>
      <c r="V122" s="697"/>
      <c r="W122" s="206"/>
      <c r="X122" s="697"/>
      <c r="Y122" s="697"/>
      <c r="Z122" s="206"/>
      <c r="AA122" s="206"/>
      <c r="AB122" s="206"/>
      <c r="AC122" s="207"/>
      <c r="AD122" s="207"/>
      <c r="AE122" s="207"/>
      <c r="AF122" s="207"/>
      <c r="AG122" s="207"/>
      <c r="AH122" s="207"/>
      <c r="AI122" s="191"/>
      <c r="AJ122" s="191"/>
      <c r="AK122" s="191"/>
      <c r="AL122" s="191"/>
      <c r="AM122" s="191"/>
      <c r="AN122" s="191"/>
      <c r="AO122" s="193"/>
      <c r="AP122" s="193"/>
      <c r="AQ122" s="193"/>
      <c r="AR122" s="193"/>
      <c r="AS122" s="193"/>
      <c r="AT122" s="197"/>
      <c r="AU122" s="197"/>
      <c r="AV122" s="191"/>
      <c r="AW122" s="236"/>
      <c r="AX122" s="236"/>
      <c r="AY122" s="619"/>
      <c r="AZ122" s="619"/>
      <c r="BA122" s="619"/>
    </row>
    <row r="123" spans="2:53" s="71" customFormat="1" ht="33">
      <c r="B123" s="179">
        <f>B120+1</f>
        <v>84</v>
      </c>
      <c r="C123" s="202" t="s">
        <v>1039</v>
      </c>
      <c r="D123" s="180" t="s">
        <v>1674</v>
      </c>
      <c r="E123" s="204" t="s">
        <v>102</v>
      </c>
      <c r="F123" s="204">
        <v>7</v>
      </c>
      <c r="G123" s="198">
        <v>4920</v>
      </c>
      <c r="H123" s="694"/>
      <c r="I123" s="198"/>
      <c r="J123" s="694"/>
      <c r="K123" s="198"/>
      <c r="L123" s="198"/>
      <c r="M123" s="694"/>
      <c r="N123" s="198"/>
      <c r="O123" s="694"/>
      <c r="P123" s="198"/>
      <c r="Q123" s="198"/>
      <c r="R123" s="198">
        <f t="shared" ref="R123:R135" si="138">G123+I123+K123+L123+N123+P123+Q123</f>
        <v>4920</v>
      </c>
      <c r="S123" s="198">
        <v>1</v>
      </c>
      <c r="T123" s="198"/>
      <c r="U123" s="198"/>
      <c r="V123" s="694"/>
      <c r="W123" s="198"/>
      <c r="X123" s="770">
        <v>17</v>
      </c>
      <c r="Y123" s="700">
        <v>0.2</v>
      </c>
      <c r="Z123" s="198">
        <f t="shared" ref="Z123:Z132" si="139">R123*Y123</f>
        <v>984</v>
      </c>
      <c r="AA123" s="198">
        <f t="shared" ref="AA123:AA134" si="140">AH123</f>
        <v>2096</v>
      </c>
      <c r="AB123" s="198">
        <f>(R123+Z123)*S123+AA123</f>
        <v>8000</v>
      </c>
      <c r="AC123" s="689">
        <f t="shared" ref="AC123:AC135" si="141">AF123</f>
        <v>5500</v>
      </c>
      <c r="AD123" s="689">
        <f t="shared" ref="AD123:AD135" si="142">AB123+AC123</f>
        <v>13500</v>
      </c>
      <c r="AE123" s="689">
        <f t="shared" ref="AE123:AE135" si="143">13500*S123</f>
        <v>13500</v>
      </c>
      <c r="AF123" s="689">
        <f t="shared" ref="AF123:AF135" si="144">AE123-AB123</f>
        <v>5500</v>
      </c>
      <c r="AG123" s="689">
        <f t="shared" ref="AG123:AG135" si="145">8000*S123</f>
        <v>8000</v>
      </c>
      <c r="AH123" s="689">
        <f>AG123-(R123*S123)-Z123</f>
        <v>2096</v>
      </c>
      <c r="AI123" s="184">
        <f t="shared" ref="AI123:AI135" si="146">G123*S123</f>
        <v>4920</v>
      </c>
      <c r="AJ123" s="184">
        <f t="shared" ref="AJ123:AJ135" si="147">G123*T123</f>
        <v>0</v>
      </c>
      <c r="AK123" s="184">
        <f t="shared" ref="AK123:AK135" si="148">R123*S123</f>
        <v>4920</v>
      </c>
      <c r="AL123" s="184">
        <f t="shared" ref="AL123:AL135" si="149">R123*T123</f>
        <v>0</v>
      </c>
      <c r="AM123" s="184">
        <f t="shared" ref="AM123:AN135" si="150">AK123-AI123</f>
        <v>0</v>
      </c>
      <c r="AN123" s="184">
        <f t="shared" si="150"/>
        <v>0</v>
      </c>
      <c r="AO123" s="701">
        <f t="shared" ref="AO123:AO135" si="151">Z123*S123</f>
        <v>984</v>
      </c>
      <c r="AP123" s="701">
        <f t="shared" ref="AP123:AP135" si="152">Z123*T123</f>
        <v>0</v>
      </c>
      <c r="AQ123" s="701">
        <f t="shared" ref="AQ123:AQ135" si="153">AA123</f>
        <v>2096</v>
      </c>
      <c r="AR123" s="701">
        <f t="shared" ref="AR123:AR135" si="154">W123*S123</f>
        <v>0</v>
      </c>
      <c r="AS123" s="701">
        <f t="shared" ref="AS123:AS135" si="155">W123*T123</f>
        <v>0</v>
      </c>
      <c r="AT123" s="702">
        <f t="shared" si="111"/>
        <v>4920</v>
      </c>
      <c r="AU123" s="702">
        <f t="shared" si="111"/>
        <v>0</v>
      </c>
      <c r="AV123" s="184"/>
      <c r="AW123" s="209">
        <f>AT123+AU123-AV123</f>
        <v>4920</v>
      </c>
      <c r="AX123" s="236"/>
      <c r="AY123" s="619"/>
      <c r="AZ123" s="619"/>
      <c r="BA123" s="619"/>
    </row>
    <row r="124" spans="2:53" s="71" customFormat="1" ht="58.5">
      <c r="B124" s="179">
        <f t="shared" si="92"/>
        <v>85</v>
      </c>
      <c r="C124" s="202" t="s">
        <v>1039</v>
      </c>
      <c r="D124" s="180" t="s">
        <v>241</v>
      </c>
      <c r="E124" s="204" t="s">
        <v>242</v>
      </c>
      <c r="F124" s="204">
        <v>9</v>
      </c>
      <c r="G124" s="198">
        <v>5527</v>
      </c>
      <c r="H124" s="694"/>
      <c r="I124" s="198"/>
      <c r="J124" s="694"/>
      <c r="K124" s="198"/>
      <c r="L124" s="198"/>
      <c r="M124" s="694"/>
      <c r="N124" s="198"/>
      <c r="O124" s="694"/>
      <c r="P124" s="198"/>
      <c r="Q124" s="198"/>
      <c r="R124" s="198">
        <f t="shared" si="138"/>
        <v>5527</v>
      </c>
      <c r="S124" s="198">
        <v>1</v>
      </c>
      <c r="T124" s="198"/>
      <c r="U124" s="198"/>
      <c r="V124" s="694"/>
      <c r="W124" s="198"/>
      <c r="X124" s="770">
        <v>30</v>
      </c>
      <c r="Y124" s="700">
        <v>0.3</v>
      </c>
      <c r="Z124" s="198">
        <f t="shared" si="139"/>
        <v>1658.1</v>
      </c>
      <c r="AA124" s="198">
        <f>AH124</f>
        <v>814.90000000000009</v>
      </c>
      <c r="AB124" s="198">
        <f>(R124+Z124)*S124+AA124</f>
        <v>8000</v>
      </c>
      <c r="AC124" s="689">
        <f t="shared" si="141"/>
        <v>5500</v>
      </c>
      <c r="AD124" s="689">
        <f t="shared" si="142"/>
        <v>13500</v>
      </c>
      <c r="AE124" s="689">
        <f t="shared" si="143"/>
        <v>13500</v>
      </c>
      <c r="AF124" s="689">
        <f t="shared" si="144"/>
        <v>5500</v>
      </c>
      <c r="AG124" s="689">
        <f t="shared" si="145"/>
        <v>8000</v>
      </c>
      <c r="AH124" s="689">
        <f>AG124-(R124*S124)-Z124</f>
        <v>814.90000000000009</v>
      </c>
      <c r="AI124" s="184">
        <f t="shared" si="146"/>
        <v>5527</v>
      </c>
      <c r="AJ124" s="184">
        <f t="shared" si="147"/>
        <v>0</v>
      </c>
      <c r="AK124" s="184">
        <f t="shared" si="148"/>
        <v>5527</v>
      </c>
      <c r="AL124" s="184">
        <f t="shared" si="149"/>
        <v>0</v>
      </c>
      <c r="AM124" s="184">
        <f t="shared" si="150"/>
        <v>0</v>
      </c>
      <c r="AN124" s="184">
        <f t="shared" si="150"/>
        <v>0</v>
      </c>
      <c r="AO124" s="701">
        <f t="shared" si="151"/>
        <v>1658.1</v>
      </c>
      <c r="AP124" s="701">
        <f t="shared" si="152"/>
        <v>0</v>
      </c>
      <c r="AQ124" s="701">
        <f t="shared" si="153"/>
        <v>814.90000000000009</v>
      </c>
      <c r="AR124" s="701">
        <f t="shared" si="154"/>
        <v>0</v>
      </c>
      <c r="AS124" s="701">
        <f t="shared" si="155"/>
        <v>0</v>
      </c>
      <c r="AT124" s="702">
        <f t="shared" si="111"/>
        <v>5527</v>
      </c>
      <c r="AU124" s="702">
        <f t="shared" si="111"/>
        <v>0</v>
      </c>
      <c r="AV124" s="184"/>
      <c r="AW124" s="209">
        <f>AT124+AU124-AV124</f>
        <v>5527</v>
      </c>
      <c r="AX124" s="236"/>
      <c r="AY124" s="619"/>
      <c r="AZ124" s="619"/>
      <c r="BA124" s="619"/>
    </row>
    <row r="125" spans="2:53" s="69" customFormat="1" ht="63">
      <c r="B125" s="660">
        <f>1+B124</f>
        <v>86</v>
      </c>
      <c r="C125" s="185" t="s">
        <v>1706</v>
      </c>
      <c r="D125" s="186" t="s">
        <v>1674</v>
      </c>
      <c r="E125" s="660" t="s">
        <v>1707</v>
      </c>
      <c r="F125" s="660">
        <v>6</v>
      </c>
      <c r="G125" s="187">
        <v>4633</v>
      </c>
      <c r="H125" s="687"/>
      <c r="I125" s="187"/>
      <c r="J125" s="687"/>
      <c r="K125" s="187"/>
      <c r="L125" s="187"/>
      <c r="M125" s="687"/>
      <c r="N125" s="187"/>
      <c r="O125" s="687"/>
      <c r="P125" s="187"/>
      <c r="Q125" s="187"/>
      <c r="R125" s="187">
        <f t="shared" si="138"/>
        <v>4633</v>
      </c>
      <c r="S125" s="187">
        <v>1</v>
      </c>
      <c r="T125" s="187"/>
      <c r="U125" s="187"/>
      <c r="V125" s="687"/>
      <c r="W125" s="187"/>
      <c r="X125" s="674">
        <v>8</v>
      </c>
      <c r="Y125" s="688">
        <v>0.1</v>
      </c>
      <c r="Z125" s="187">
        <f t="shared" si="139"/>
        <v>463.3</v>
      </c>
      <c r="AA125" s="187">
        <f t="shared" si="140"/>
        <v>2903.7</v>
      </c>
      <c r="AB125" s="187">
        <f>(R125+Z125)*S125+AA125</f>
        <v>8000</v>
      </c>
      <c r="AC125" s="689">
        <f t="shared" si="141"/>
        <v>5500</v>
      </c>
      <c r="AD125" s="689">
        <f t="shared" si="142"/>
        <v>13500</v>
      </c>
      <c r="AE125" s="190">
        <f t="shared" si="143"/>
        <v>13500</v>
      </c>
      <c r="AF125" s="190">
        <f t="shared" si="144"/>
        <v>5500</v>
      </c>
      <c r="AG125" s="689">
        <f t="shared" si="145"/>
        <v>8000</v>
      </c>
      <c r="AH125" s="190">
        <f>AG125-(R125*S125)-Z125</f>
        <v>2903.7</v>
      </c>
      <c r="AI125" s="191">
        <f t="shared" si="146"/>
        <v>4633</v>
      </c>
      <c r="AJ125" s="191">
        <f t="shared" si="147"/>
        <v>0</v>
      </c>
      <c r="AK125" s="191">
        <f t="shared" si="148"/>
        <v>4633</v>
      </c>
      <c r="AL125" s="191">
        <f t="shared" si="149"/>
        <v>0</v>
      </c>
      <c r="AM125" s="191">
        <f t="shared" si="150"/>
        <v>0</v>
      </c>
      <c r="AN125" s="191">
        <f t="shared" si="150"/>
        <v>0</v>
      </c>
      <c r="AO125" s="193">
        <f t="shared" si="151"/>
        <v>463.3</v>
      </c>
      <c r="AP125" s="193">
        <f t="shared" si="152"/>
        <v>0</v>
      </c>
      <c r="AQ125" s="193">
        <f t="shared" si="153"/>
        <v>2903.7</v>
      </c>
      <c r="AR125" s="193">
        <f t="shared" si="154"/>
        <v>0</v>
      </c>
      <c r="AS125" s="193">
        <f t="shared" si="155"/>
        <v>0</v>
      </c>
      <c r="AT125" s="197">
        <f t="shared" si="111"/>
        <v>4633</v>
      </c>
      <c r="AU125" s="197">
        <f t="shared" si="111"/>
        <v>0</v>
      </c>
      <c r="AV125" s="191"/>
      <c r="AW125" s="236">
        <f>R125*S125</f>
        <v>4633</v>
      </c>
      <c r="AX125" s="236"/>
      <c r="AY125" s="619"/>
      <c r="AZ125" s="619"/>
      <c r="BA125" s="619"/>
    </row>
    <row r="126" spans="2:53" s="69" customFormat="1" ht="63">
      <c r="B126" s="660">
        <f t="shared" si="92"/>
        <v>87</v>
      </c>
      <c r="C126" s="185" t="s">
        <v>1706</v>
      </c>
      <c r="D126" s="186" t="s">
        <v>243</v>
      </c>
      <c r="E126" s="660" t="s">
        <v>1040</v>
      </c>
      <c r="F126" s="660">
        <v>9</v>
      </c>
      <c r="G126" s="187">
        <v>5527</v>
      </c>
      <c r="H126" s="687"/>
      <c r="I126" s="187"/>
      <c r="J126" s="687"/>
      <c r="K126" s="187"/>
      <c r="L126" s="187"/>
      <c r="M126" s="687"/>
      <c r="N126" s="187"/>
      <c r="O126" s="687"/>
      <c r="P126" s="187"/>
      <c r="Q126" s="187"/>
      <c r="R126" s="187">
        <f t="shared" si="138"/>
        <v>5527</v>
      </c>
      <c r="S126" s="187">
        <v>1</v>
      </c>
      <c r="T126" s="187"/>
      <c r="U126" s="187"/>
      <c r="V126" s="687"/>
      <c r="W126" s="187"/>
      <c r="X126" s="674">
        <v>22</v>
      </c>
      <c r="Y126" s="688">
        <v>0.3</v>
      </c>
      <c r="Z126" s="187">
        <f t="shared" si="139"/>
        <v>1658.1</v>
      </c>
      <c r="AA126" s="187">
        <f t="shared" si="140"/>
        <v>814.90000000000009</v>
      </c>
      <c r="AB126" s="187">
        <f t="shared" ref="AB126:AB131" si="156">(R126+Z126)*S126+AA126</f>
        <v>8000</v>
      </c>
      <c r="AC126" s="689">
        <f t="shared" si="141"/>
        <v>5500</v>
      </c>
      <c r="AD126" s="689">
        <f t="shared" si="142"/>
        <v>13500</v>
      </c>
      <c r="AE126" s="190">
        <f t="shared" si="143"/>
        <v>13500</v>
      </c>
      <c r="AF126" s="190">
        <f t="shared" si="144"/>
        <v>5500</v>
      </c>
      <c r="AG126" s="689">
        <f t="shared" si="145"/>
        <v>8000</v>
      </c>
      <c r="AH126" s="190">
        <f t="shared" ref="AH126:AH131" si="157">AG126-(R126*S126)-Z126</f>
        <v>814.90000000000009</v>
      </c>
      <c r="AI126" s="191">
        <f t="shared" si="146"/>
        <v>5527</v>
      </c>
      <c r="AJ126" s="191">
        <f t="shared" si="147"/>
        <v>0</v>
      </c>
      <c r="AK126" s="191">
        <f t="shared" si="148"/>
        <v>5527</v>
      </c>
      <c r="AL126" s="191">
        <f t="shared" si="149"/>
        <v>0</v>
      </c>
      <c r="AM126" s="191">
        <f t="shared" si="150"/>
        <v>0</v>
      </c>
      <c r="AN126" s="191">
        <f t="shared" si="150"/>
        <v>0</v>
      </c>
      <c r="AO126" s="193">
        <f t="shared" si="151"/>
        <v>1658.1</v>
      </c>
      <c r="AP126" s="193">
        <f t="shared" si="152"/>
        <v>0</v>
      </c>
      <c r="AQ126" s="193">
        <f t="shared" si="153"/>
        <v>814.90000000000009</v>
      </c>
      <c r="AR126" s="193">
        <f t="shared" si="154"/>
        <v>0</v>
      </c>
      <c r="AS126" s="193">
        <f t="shared" si="155"/>
        <v>0</v>
      </c>
      <c r="AT126" s="197">
        <f t="shared" si="111"/>
        <v>5527</v>
      </c>
      <c r="AU126" s="197">
        <f t="shared" si="111"/>
        <v>0</v>
      </c>
      <c r="AV126" s="191"/>
      <c r="AW126" s="236">
        <f t="shared" ref="AW126:AW135" si="158">R126*S126</f>
        <v>5527</v>
      </c>
      <c r="AX126" s="236"/>
      <c r="AY126" s="619"/>
      <c r="AZ126" s="619"/>
      <c r="BA126" s="619"/>
    </row>
    <row r="127" spans="2:53" s="69" customFormat="1" ht="63">
      <c r="B127" s="660">
        <f t="shared" si="92"/>
        <v>88</v>
      </c>
      <c r="C127" s="185" t="s">
        <v>1706</v>
      </c>
      <c r="D127" s="200" t="s">
        <v>1041</v>
      </c>
      <c r="E127" s="194" t="s">
        <v>1042</v>
      </c>
      <c r="F127" s="194">
        <v>9</v>
      </c>
      <c r="G127" s="187">
        <v>5527</v>
      </c>
      <c r="H127" s="692"/>
      <c r="I127" s="194"/>
      <c r="J127" s="692"/>
      <c r="K127" s="194"/>
      <c r="L127" s="194"/>
      <c r="M127" s="692"/>
      <c r="N127" s="194"/>
      <c r="O127" s="692"/>
      <c r="P127" s="194"/>
      <c r="Q127" s="187"/>
      <c r="R127" s="187">
        <f t="shared" si="138"/>
        <v>5527</v>
      </c>
      <c r="S127" s="187">
        <v>1</v>
      </c>
      <c r="T127" s="194"/>
      <c r="U127" s="194"/>
      <c r="V127" s="692"/>
      <c r="W127" s="194"/>
      <c r="X127" s="674">
        <v>29</v>
      </c>
      <c r="Y127" s="688">
        <v>0.3</v>
      </c>
      <c r="Z127" s="187">
        <f t="shared" si="139"/>
        <v>1658.1</v>
      </c>
      <c r="AA127" s="187">
        <f t="shared" si="140"/>
        <v>814.90000000000009</v>
      </c>
      <c r="AB127" s="187">
        <f t="shared" si="156"/>
        <v>8000</v>
      </c>
      <c r="AC127" s="689">
        <f t="shared" si="141"/>
        <v>5500</v>
      </c>
      <c r="AD127" s="689">
        <f t="shared" si="142"/>
        <v>13500</v>
      </c>
      <c r="AE127" s="190">
        <f t="shared" si="143"/>
        <v>13500</v>
      </c>
      <c r="AF127" s="190">
        <f t="shared" si="144"/>
        <v>5500</v>
      </c>
      <c r="AG127" s="689">
        <f t="shared" si="145"/>
        <v>8000</v>
      </c>
      <c r="AH127" s="190">
        <f t="shared" si="157"/>
        <v>814.90000000000009</v>
      </c>
      <c r="AI127" s="191">
        <f t="shared" si="146"/>
        <v>5527</v>
      </c>
      <c r="AJ127" s="191">
        <f t="shared" si="147"/>
        <v>0</v>
      </c>
      <c r="AK127" s="191">
        <f t="shared" si="148"/>
        <v>5527</v>
      </c>
      <c r="AL127" s="191">
        <f t="shared" si="149"/>
        <v>0</v>
      </c>
      <c r="AM127" s="191">
        <f t="shared" si="150"/>
        <v>0</v>
      </c>
      <c r="AN127" s="191">
        <f t="shared" si="150"/>
        <v>0</v>
      </c>
      <c r="AO127" s="193">
        <f t="shared" si="151"/>
        <v>1658.1</v>
      </c>
      <c r="AP127" s="193">
        <f t="shared" si="152"/>
        <v>0</v>
      </c>
      <c r="AQ127" s="193">
        <f t="shared" si="153"/>
        <v>814.90000000000009</v>
      </c>
      <c r="AR127" s="193">
        <f t="shared" si="154"/>
        <v>0</v>
      </c>
      <c r="AS127" s="193">
        <f t="shared" si="155"/>
        <v>0</v>
      </c>
      <c r="AT127" s="197">
        <f t="shared" si="111"/>
        <v>5527</v>
      </c>
      <c r="AU127" s="197">
        <f t="shared" si="111"/>
        <v>0</v>
      </c>
      <c r="AV127" s="191"/>
      <c r="AW127" s="236">
        <f t="shared" si="158"/>
        <v>5527</v>
      </c>
      <c r="AX127" s="236"/>
      <c r="AY127" s="619"/>
      <c r="AZ127" s="619"/>
      <c r="BA127" s="619"/>
    </row>
    <row r="128" spans="2:53" s="69" customFormat="1" ht="63">
      <c r="B128" s="660">
        <f t="shared" si="92"/>
        <v>89</v>
      </c>
      <c r="C128" s="185" t="s">
        <v>1706</v>
      </c>
      <c r="D128" s="186" t="s">
        <v>1708</v>
      </c>
      <c r="E128" s="660" t="s">
        <v>1045</v>
      </c>
      <c r="F128" s="660">
        <v>9</v>
      </c>
      <c r="G128" s="187">
        <v>5527</v>
      </c>
      <c r="H128" s="687"/>
      <c r="I128" s="187"/>
      <c r="J128" s="687"/>
      <c r="K128" s="187"/>
      <c r="L128" s="187"/>
      <c r="M128" s="687"/>
      <c r="N128" s="187"/>
      <c r="O128" s="687"/>
      <c r="P128" s="187"/>
      <c r="Q128" s="187"/>
      <c r="R128" s="187">
        <f t="shared" si="138"/>
        <v>5527</v>
      </c>
      <c r="S128" s="187">
        <v>1</v>
      </c>
      <c r="T128" s="187"/>
      <c r="U128" s="187"/>
      <c r="V128" s="687"/>
      <c r="W128" s="187"/>
      <c r="X128" s="674">
        <v>30</v>
      </c>
      <c r="Y128" s="688">
        <v>0.3</v>
      </c>
      <c r="Z128" s="187">
        <f t="shared" si="139"/>
        <v>1658.1</v>
      </c>
      <c r="AA128" s="187">
        <f t="shared" si="140"/>
        <v>814.90000000000009</v>
      </c>
      <c r="AB128" s="187">
        <f>(R128+Z128)*S128+AA128</f>
        <v>8000</v>
      </c>
      <c r="AC128" s="689">
        <f t="shared" si="141"/>
        <v>5500</v>
      </c>
      <c r="AD128" s="689">
        <f>AB128+AC128</f>
        <v>13500</v>
      </c>
      <c r="AE128" s="190">
        <f>13500*S128</f>
        <v>13500</v>
      </c>
      <c r="AF128" s="190">
        <f>AE128-AB128</f>
        <v>5500</v>
      </c>
      <c r="AG128" s="689">
        <f t="shared" si="145"/>
        <v>8000</v>
      </c>
      <c r="AH128" s="190">
        <f t="shared" si="157"/>
        <v>814.90000000000009</v>
      </c>
      <c r="AI128" s="191">
        <f t="shared" si="146"/>
        <v>5527</v>
      </c>
      <c r="AJ128" s="191">
        <f t="shared" si="147"/>
        <v>0</v>
      </c>
      <c r="AK128" s="191">
        <f t="shared" si="148"/>
        <v>5527</v>
      </c>
      <c r="AL128" s="191">
        <f t="shared" si="149"/>
        <v>0</v>
      </c>
      <c r="AM128" s="191">
        <f t="shared" si="150"/>
        <v>0</v>
      </c>
      <c r="AN128" s="191">
        <f t="shared" si="150"/>
        <v>0</v>
      </c>
      <c r="AO128" s="193">
        <f t="shared" si="151"/>
        <v>1658.1</v>
      </c>
      <c r="AP128" s="193">
        <f t="shared" si="152"/>
        <v>0</v>
      </c>
      <c r="AQ128" s="193">
        <f t="shared" si="153"/>
        <v>814.90000000000009</v>
      </c>
      <c r="AR128" s="193">
        <f t="shared" si="154"/>
        <v>0</v>
      </c>
      <c r="AS128" s="193">
        <f t="shared" si="155"/>
        <v>0</v>
      </c>
      <c r="AT128" s="197">
        <f t="shared" si="111"/>
        <v>5527</v>
      </c>
      <c r="AU128" s="197">
        <f t="shared" si="111"/>
        <v>0</v>
      </c>
      <c r="AV128" s="191"/>
      <c r="AW128" s="236">
        <f t="shared" si="158"/>
        <v>5527</v>
      </c>
      <c r="AX128" s="236"/>
      <c r="AY128" s="619"/>
      <c r="AZ128" s="619"/>
      <c r="BA128" s="619"/>
    </row>
    <row r="129" spans="2:53" s="69" customFormat="1" ht="63">
      <c r="B129" s="660">
        <f t="shared" si="92"/>
        <v>90</v>
      </c>
      <c r="C129" s="185" t="s">
        <v>1706</v>
      </c>
      <c r="D129" s="186" t="s">
        <v>1293</v>
      </c>
      <c r="E129" s="660" t="s">
        <v>1046</v>
      </c>
      <c r="F129" s="660">
        <v>9</v>
      </c>
      <c r="G129" s="187">
        <v>5527</v>
      </c>
      <c r="H129" s="687"/>
      <c r="I129" s="187"/>
      <c r="J129" s="687"/>
      <c r="K129" s="187"/>
      <c r="L129" s="187"/>
      <c r="M129" s="687"/>
      <c r="N129" s="187"/>
      <c r="O129" s="687"/>
      <c r="P129" s="194"/>
      <c r="Q129" s="194"/>
      <c r="R129" s="187">
        <f t="shared" si="138"/>
        <v>5527</v>
      </c>
      <c r="S129" s="187">
        <v>1</v>
      </c>
      <c r="T129" s="187"/>
      <c r="U129" s="194"/>
      <c r="V129" s="692"/>
      <c r="W129" s="194"/>
      <c r="X129" s="674">
        <v>30</v>
      </c>
      <c r="Y129" s="688">
        <v>0.3</v>
      </c>
      <c r="Z129" s="187">
        <f t="shared" si="139"/>
        <v>1658.1</v>
      </c>
      <c r="AA129" s="187">
        <f t="shared" si="140"/>
        <v>814.90000000000009</v>
      </c>
      <c r="AB129" s="187">
        <f>(R129+Z129)*S129+AA129</f>
        <v>8000</v>
      </c>
      <c r="AC129" s="689">
        <f>AF129</f>
        <v>5500</v>
      </c>
      <c r="AD129" s="689">
        <f>AB129+AC129</f>
        <v>13500</v>
      </c>
      <c r="AE129" s="190">
        <f>13500*S129</f>
        <v>13500</v>
      </c>
      <c r="AF129" s="190">
        <f>AE129-AB129</f>
        <v>5500</v>
      </c>
      <c r="AG129" s="689">
        <f t="shared" si="145"/>
        <v>8000</v>
      </c>
      <c r="AH129" s="190">
        <f t="shared" si="157"/>
        <v>814.90000000000009</v>
      </c>
      <c r="AI129" s="191">
        <f t="shared" si="146"/>
        <v>5527</v>
      </c>
      <c r="AJ129" s="191">
        <f t="shared" si="147"/>
        <v>0</v>
      </c>
      <c r="AK129" s="191">
        <f t="shared" si="148"/>
        <v>5527</v>
      </c>
      <c r="AL129" s="191">
        <f t="shared" si="149"/>
        <v>0</v>
      </c>
      <c r="AM129" s="191">
        <f t="shared" si="150"/>
        <v>0</v>
      </c>
      <c r="AN129" s="191">
        <f t="shared" si="150"/>
        <v>0</v>
      </c>
      <c r="AO129" s="193">
        <f t="shared" si="151"/>
        <v>1658.1</v>
      </c>
      <c r="AP129" s="193">
        <f t="shared" si="152"/>
        <v>0</v>
      </c>
      <c r="AQ129" s="193">
        <f t="shared" si="153"/>
        <v>814.90000000000009</v>
      </c>
      <c r="AR129" s="193">
        <f t="shared" si="154"/>
        <v>0</v>
      </c>
      <c r="AS129" s="193">
        <f t="shared" si="155"/>
        <v>0</v>
      </c>
      <c r="AT129" s="197">
        <f t="shared" si="111"/>
        <v>5527</v>
      </c>
      <c r="AU129" s="197">
        <f t="shared" si="111"/>
        <v>0</v>
      </c>
      <c r="AV129" s="191"/>
      <c r="AW129" s="236">
        <f t="shared" si="158"/>
        <v>5527</v>
      </c>
      <c r="AX129" s="236"/>
      <c r="AY129" s="619"/>
      <c r="AZ129" s="619"/>
      <c r="BA129" s="619"/>
    </row>
    <row r="130" spans="2:53" s="69" customFormat="1" ht="63">
      <c r="B130" s="660">
        <f t="shared" si="92"/>
        <v>91</v>
      </c>
      <c r="C130" s="185" t="s">
        <v>1706</v>
      </c>
      <c r="D130" s="186" t="s">
        <v>1709</v>
      </c>
      <c r="E130" s="660" t="s">
        <v>1047</v>
      </c>
      <c r="F130" s="660">
        <v>9</v>
      </c>
      <c r="G130" s="187">
        <v>5527</v>
      </c>
      <c r="H130" s="687"/>
      <c r="I130" s="187"/>
      <c r="J130" s="687"/>
      <c r="K130" s="187"/>
      <c r="L130" s="187"/>
      <c r="M130" s="687"/>
      <c r="N130" s="187"/>
      <c r="O130" s="687"/>
      <c r="P130" s="187"/>
      <c r="Q130" s="187"/>
      <c r="R130" s="187">
        <f t="shared" si="138"/>
        <v>5527</v>
      </c>
      <c r="S130" s="187">
        <v>1</v>
      </c>
      <c r="T130" s="187"/>
      <c r="U130" s="187"/>
      <c r="V130" s="687"/>
      <c r="W130" s="187"/>
      <c r="X130" s="674">
        <v>42</v>
      </c>
      <c r="Y130" s="688">
        <v>0.3</v>
      </c>
      <c r="Z130" s="187">
        <f t="shared" si="139"/>
        <v>1658.1</v>
      </c>
      <c r="AA130" s="187">
        <f t="shared" si="140"/>
        <v>814.90000000000009</v>
      </c>
      <c r="AB130" s="187">
        <f t="shared" si="156"/>
        <v>8000</v>
      </c>
      <c r="AC130" s="689">
        <f t="shared" si="141"/>
        <v>5500</v>
      </c>
      <c r="AD130" s="689">
        <f t="shared" si="142"/>
        <v>13500</v>
      </c>
      <c r="AE130" s="190">
        <f t="shared" si="143"/>
        <v>13500</v>
      </c>
      <c r="AF130" s="190">
        <f>AE130-AB130</f>
        <v>5500</v>
      </c>
      <c r="AG130" s="689">
        <f t="shared" si="145"/>
        <v>8000</v>
      </c>
      <c r="AH130" s="190">
        <f>AG130-(R130*S130)-Z130</f>
        <v>814.90000000000009</v>
      </c>
      <c r="AI130" s="191">
        <f t="shared" si="146"/>
        <v>5527</v>
      </c>
      <c r="AJ130" s="191">
        <f t="shared" si="147"/>
        <v>0</v>
      </c>
      <c r="AK130" s="191">
        <f t="shared" si="148"/>
        <v>5527</v>
      </c>
      <c r="AL130" s="191">
        <f t="shared" si="149"/>
        <v>0</v>
      </c>
      <c r="AM130" s="191">
        <f t="shared" si="150"/>
        <v>0</v>
      </c>
      <c r="AN130" s="191">
        <f t="shared" si="150"/>
        <v>0</v>
      </c>
      <c r="AO130" s="193">
        <f t="shared" si="151"/>
        <v>1658.1</v>
      </c>
      <c r="AP130" s="193">
        <f t="shared" si="152"/>
        <v>0</v>
      </c>
      <c r="AQ130" s="193">
        <f t="shared" si="153"/>
        <v>814.90000000000009</v>
      </c>
      <c r="AR130" s="193">
        <f t="shared" si="154"/>
        <v>0</v>
      </c>
      <c r="AS130" s="193">
        <f t="shared" si="155"/>
        <v>0</v>
      </c>
      <c r="AT130" s="197">
        <f t="shared" si="111"/>
        <v>5527</v>
      </c>
      <c r="AU130" s="197">
        <f t="shared" si="111"/>
        <v>0</v>
      </c>
      <c r="AV130" s="191"/>
      <c r="AW130" s="236">
        <f t="shared" si="158"/>
        <v>5527</v>
      </c>
      <c r="AX130" s="236"/>
      <c r="AY130" s="619"/>
      <c r="AZ130" s="619"/>
      <c r="BA130" s="619"/>
    </row>
    <row r="131" spans="2:53" s="69" customFormat="1" ht="63">
      <c r="B131" s="660">
        <f t="shared" si="92"/>
        <v>92</v>
      </c>
      <c r="C131" s="185" t="s">
        <v>1706</v>
      </c>
      <c r="D131" s="186" t="s">
        <v>244</v>
      </c>
      <c r="E131" s="660" t="s">
        <v>1048</v>
      </c>
      <c r="F131" s="660">
        <v>9</v>
      </c>
      <c r="G131" s="187">
        <v>5527</v>
      </c>
      <c r="H131" s="687"/>
      <c r="I131" s="187"/>
      <c r="J131" s="688"/>
      <c r="K131" s="189"/>
      <c r="L131" s="189"/>
      <c r="M131" s="687"/>
      <c r="N131" s="187"/>
      <c r="O131" s="687"/>
      <c r="P131" s="194"/>
      <c r="Q131" s="194"/>
      <c r="R131" s="187">
        <f t="shared" si="138"/>
        <v>5527</v>
      </c>
      <c r="S131" s="187">
        <v>1</v>
      </c>
      <c r="T131" s="187"/>
      <c r="U131" s="194"/>
      <c r="V131" s="692"/>
      <c r="W131" s="194"/>
      <c r="X131" s="674">
        <v>32</v>
      </c>
      <c r="Y131" s="688">
        <v>0.3</v>
      </c>
      <c r="Z131" s="187">
        <f t="shared" si="139"/>
        <v>1658.1</v>
      </c>
      <c r="AA131" s="187">
        <f t="shared" si="140"/>
        <v>814.90000000000009</v>
      </c>
      <c r="AB131" s="187">
        <f t="shared" si="156"/>
        <v>8000</v>
      </c>
      <c r="AC131" s="689">
        <f t="shared" si="141"/>
        <v>5500</v>
      </c>
      <c r="AD131" s="689">
        <f t="shared" si="142"/>
        <v>13500</v>
      </c>
      <c r="AE131" s="190">
        <f t="shared" si="143"/>
        <v>13500</v>
      </c>
      <c r="AF131" s="190">
        <f t="shared" si="144"/>
        <v>5500</v>
      </c>
      <c r="AG131" s="689">
        <f t="shared" si="145"/>
        <v>8000</v>
      </c>
      <c r="AH131" s="190">
        <f t="shared" si="157"/>
        <v>814.90000000000009</v>
      </c>
      <c r="AI131" s="191">
        <f t="shared" si="146"/>
        <v>5527</v>
      </c>
      <c r="AJ131" s="191">
        <f t="shared" si="147"/>
        <v>0</v>
      </c>
      <c r="AK131" s="191">
        <f t="shared" si="148"/>
        <v>5527</v>
      </c>
      <c r="AL131" s="191">
        <f t="shared" si="149"/>
        <v>0</v>
      </c>
      <c r="AM131" s="191">
        <f t="shared" si="150"/>
        <v>0</v>
      </c>
      <c r="AN131" s="191">
        <f t="shared" si="150"/>
        <v>0</v>
      </c>
      <c r="AO131" s="193">
        <f t="shared" si="151"/>
        <v>1658.1</v>
      </c>
      <c r="AP131" s="193">
        <f t="shared" si="152"/>
        <v>0</v>
      </c>
      <c r="AQ131" s="193">
        <f t="shared" si="153"/>
        <v>814.90000000000009</v>
      </c>
      <c r="AR131" s="193">
        <f t="shared" si="154"/>
        <v>0</v>
      </c>
      <c r="AS131" s="193">
        <f t="shared" si="155"/>
        <v>0</v>
      </c>
      <c r="AT131" s="197">
        <f t="shared" si="111"/>
        <v>5527</v>
      </c>
      <c r="AU131" s="197">
        <f t="shared" si="111"/>
        <v>0</v>
      </c>
      <c r="AV131" s="191"/>
      <c r="AW131" s="236">
        <f t="shared" si="158"/>
        <v>5527</v>
      </c>
      <c r="AX131" s="236"/>
      <c r="AY131" s="619"/>
      <c r="AZ131" s="619"/>
      <c r="BA131" s="619"/>
    </row>
    <row r="132" spans="2:53" s="69" customFormat="1" ht="63">
      <c r="B132" s="660">
        <f t="shared" si="92"/>
        <v>93</v>
      </c>
      <c r="C132" s="185" t="s">
        <v>1706</v>
      </c>
      <c r="D132" s="186" t="s">
        <v>245</v>
      </c>
      <c r="E132" s="660" t="s">
        <v>1710</v>
      </c>
      <c r="F132" s="660">
        <v>8</v>
      </c>
      <c r="G132" s="187">
        <v>5240</v>
      </c>
      <c r="H132" s="687"/>
      <c r="I132" s="187"/>
      <c r="J132" s="687"/>
      <c r="K132" s="187"/>
      <c r="L132" s="187"/>
      <c r="M132" s="687"/>
      <c r="N132" s="187"/>
      <c r="O132" s="687"/>
      <c r="P132" s="187"/>
      <c r="Q132" s="187"/>
      <c r="R132" s="187">
        <f t="shared" si="138"/>
        <v>5240</v>
      </c>
      <c r="S132" s="187">
        <v>1</v>
      </c>
      <c r="T132" s="187"/>
      <c r="U132" s="187"/>
      <c r="V132" s="687"/>
      <c r="W132" s="187"/>
      <c r="X132" s="674">
        <v>10</v>
      </c>
      <c r="Y132" s="688">
        <v>0.2</v>
      </c>
      <c r="Z132" s="187">
        <f t="shared" si="139"/>
        <v>1048</v>
      </c>
      <c r="AA132" s="187">
        <f t="shared" si="140"/>
        <v>1712</v>
      </c>
      <c r="AB132" s="187">
        <f>(R132+Z132)*S132+AA132</f>
        <v>8000</v>
      </c>
      <c r="AC132" s="689">
        <f t="shared" si="141"/>
        <v>5500</v>
      </c>
      <c r="AD132" s="689">
        <f t="shared" si="142"/>
        <v>13500</v>
      </c>
      <c r="AE132" s="190">
        <f t="shared" si="143"/>
        <v>13500</v>
      </c>
      <c r="AF132" s="190">
        <f t="shared" si="144"/>
        <v>5500</v>
      </c>
      <c r="AG132" s="689">
        <f t="shared" si="145"/>
        <v>8000</v>
      </c>
      <c r="AH132" s="190">
        <f>AG132-(R132*S132)-Z132</f>
        <v>1712</v>
      </c>
      <c r="AI132" s="191">
        <f t="shared" si="146"/>
        <v>5240</v>
      </c>
      <c r="AJ132" s="191">
        <f t="shared" si="147"/>
        <v>0</v>
      </c>
      <c r="AK132" s="191">
        <f t="shared" si="148"/>
        <v>5240</v>
      </c>
      <c r="AL132" s="191">
        <f t="shared" si="149"/>
        <v>0</v>
      </c>
      <c r="AM132" s="191">
        <f t="shared" si="150"/>
        <v>0</v>
      </c>
      <c r="AN132" s="191">
        <f t="shared" si="150"/>
        <v>0</v>
      </c>
      <c r="AO132" s="193">
        <f t="shared" si="151"/>
        <v>1048</v>
      </c>
      <c r="AP132" s="193">
        <f t="shared" si="152"/>
        <v>0</v>
      </c>
      <c r="AQ132" s="193">
        <f t="shared" si="153"/>
        <v>1712</v>
      </c>
      <c r="AR132" s="193">
        <f t="shared" si="154"/>
        <v>0</v>
      </c>
      <c r="AS132" s="193">
        <f t="shared" si="155"/>
        <v>0</v>
      </c>
      <c r="AT132" s="197">
        <f t="shared" si="111"/>
        <v>5240</v>
      </c>
      <c r="AU132" s="197">
        <f t="shared" si="111"/>
        <v>0</v>
      </c>
      <c r="AV132" s="191"/>
      <c r="AW132" s="236">
        <f t="shared" si="158"/>
        <v>5240</v>
      </c>
      <c r="AX132" s="236"/>
      <c r="AY132" s="619"/>
      <c r="AZ132" s="619"/>
      <c r="BA132" s="619"/>
    </row>
    <row r="133" spans="2:53" s="69" customFormat="1" ht="63">
      <c r="B133" s="660">
        <f>B132+1</f>
        <v>94</v>
      </c>
      <c r="C133" s="185" t="s">
        <v>1706</v>
      </c>
      <c r="D133" s="186" t="s">
        <v>1674</v>
      </c>
      <c r="E133" s="660" t="s">
        <v>1054</v>
      </c>
      <c r="F133" s="660">
        <v>6</v>
      </c>
      <c r="G133" s="187">
        <v>4633</v>
      </c>
      <c r="H133" s="687"/>
      <c r="I133" s="187"/>
      <c r="J133" s="687"/>
      <c r="K133" s="187"/>
      <c r="L133" s="187"/>
      <c r="M133" s="687"/>
      <c r="N133" s="187"/>
      <c r="O133" s="687"/>
      <c r="P133" s="187"/>
      <c r="Q133" s="187"/>
      <c r="R133" s="187">
        <f t="shared" si="138"/>
        <v>4633</v>
      </c>
      <c r="S133" s="187">
        <v>1</v>
      </c>
      <c r="T133" s="187"/>
      <c r="U133" s="187"/>
      <c r="V133" s="687"/>
      <c r="W133" s="187"/>
      <c r="X133" s="674">
        <v>32</v>
      </c>
      <c r="Y133" s="688">
        <v>0.3</v>
      </c>
      <c r="Z133" s="187">
        <f>R133*Y133</f>
        <v>1389.8999999999999</v>
      </c>
      <c r="AA133" s="187">
        <f t="shared" si="140"/>
        <v>1977.1000000000001</v>
      </c>
      <c r="AB133" s="187">
        <f>(R133+Z133)*S133+AA133</f>
        <v>8000</v>
      </c>
      <c r="AC133" s="689">
        <f t="shared" si="141"/>
        <v>5500</v>
      </c>
      <c r="AD133" s="689">
        <f t="shared" si="142"/>
        <v>13500</v>
      </c>
      <c r="AE133" s="190">
        <f t="shared" si="143"/>
        <v>13500</v>
      </c>
      <c r="AF133" s="190">
        <f t="shared" si="144"/>
        <v>5500</v>
      </c>
      <c r="AG133" s="689">
        <f t="shared" si="145"/>
        <v>8000</v>
      </c>
      <c r="AH133" s="190">
        <f>AG133-(R133*S133)-Z133</f>
        <v>1977.1000000000001</v>
      </c>
      <c r="AI133" s="191">
        <f t="shared" si="146"/>
        <v>4633</v>
      </c>
      <c r="AJ133" s="191">
        <f t="shared" si="147"/>
        <v>0</v>
      </c>
      <c r="AK133" s="191">
        <f t="shared" si="148"/>
        <v>4633</v>
      </c>
      <c r="AL133" s="191">
        <f t="shared" si="149"/>
        <v>0</v>
      </c>
      <c r="AM133" s="191">
        <f t="shared" si="150"/>
        <v>0</v>
      </c>
      <c r="AN133" s="191">
        <f t="shared" si="150"/>
        <v>0</v>
      </c>
      <c r="AO133" s="193">
        <f t="shared" si="151"/>
        <v>1389.8999999999999</v>
      </c>
      <c r="AP133" s="193">
        <f t="shared" si="152"/>
        <v>0</v>
      </c>
      <c r="AQ133" s="193">
        <f t="shared" si="153"/>
        <v>1977.1000000000001</v>
      </c>
      <c r="AR133" s="193">
        <f t="shared" si="154"/>
        <v>0</v>
      </c>
      <c r="AS133" s="193"/>
      <c r="AT133" s="197">
        <f t="shared" si="111"/>
        <v>4633</v>
      </c>
      <c r="AU133" s="197">
        <f t="shared" si="111"/>
        <v>0</v>
      </c>
      <c r="AV133" s="191"/>
      <c r="AW133" s="236">
        <f t="shared" si="158"/>
        <v>4633</v>
      </c>
      <c r="AX133" s="236"/>
      <c r="AY133" s="619"/>
      <c r="AZ133" s="619"/>
      <c r="BA133" s="619"/>
    </row>
    <row r="134" spans="2:53" s="69" customFormat="1" ht="63">
      <c r="B134" s="660">
        <f>B133+1</f>
        <v>95</v>
      </c>
      <c r="C134" s="185" t="s">
        <v>1706</v>
      </c>
      <c r="D134" s="186" t="s">
        <v>1674</v>
      </c>
      <c r="E134" s="660" t="s">
        <v>103</v>
      </c>
      <c r="F134" s="660">
        <v>6</v>
      </c>
      <c r="G134" s="187">
        <v>4633</v>
      </c>
      <c r="H134" s="687"/>
      <c r="I134" s="187"/>
      <c r="J134" s="687"/>
      <c r="K134" s="187"/>
      <c r="L134" s="187"/>
      <c r="M134" s="687"/>
      <c r="N134" s="187"/>
      <c r="O134" s="687"/>
      <c r="P134" s="187"/>
      <c r="Q134" s="187"/>
      <c r="R134" s="187">
        <f t="shared" si="138"/>
        <v>4633</v>
      </c>
      <c r="S134" s="187">
        <v>1</v>
      </c>
      <c r="T134" s="187"/>
      <c r="U134" s="187"/>
      <c r="V134" s="687"/>
      <c r="W134" s="187"/>
      <c r="X134" s="863">
        <v>2</v>
      </c>
      <c r="Y134" s="864">
        <v>0</v>
      </c>
      <c r="Z134" s="187">
        <f>R134*Y134</f>
        <v>0</v>
      </c>
      <c r="AA134" s="187">
        <f t="shared" si="140"/>
        <v>3367</v>
      </c>
      <c r="AB134" s="187">
        <f>(R134+Z134)*S134+AA134</f>
        <v>8000</v>
      </c>
      <c r="AC134" s="689">
        <f t="shared" si="141"/>
        <v>5500</v>
      </c>
      <c r="AD134" s="689">
        <f t="shared" si="142"/>
        <v>13500</v>
      </c>
      <c r="AE134" s="190">
        <f t="shared" si="143"/>
        <v>13500</v>
      </c>
      <c r="AF134" s="190">
        <f t="shared" si="144"/>
        <v>5500</v>
      </c>
      <c r="AG134" s="689">
        <f t="shared" si="145"/>
        <v>8000</v>
      </c>
      <c r="AH134" s="190">
        <f>AG134-(R134*S134)-Z134</f>
        <v>3367</v>
      </c>
      <c r="AI134" s="191"/>
      <c r="AJ134" s="191"/>
      <c r="AK134" s="191"/>
      <c r="AL134" s="191"/>
      <c r="AM134" s="191"/>
      <c r="AN134" s="191"/>
      <c r="AO134" s="193">
        <f t="shared" si="151"/>
        <v>0</v>
      </c>
      <c r="AP134" s="193">
        <f t="shared" si="152"/>
        <v>0</v>
      </c>
      <c r="AQ134" s="193"/>
      <c r="AR134" s="193"/>
      <c r="AS134" s="193"/>
      <c r="AT134" s="197"/>
      <c r="AU134" s="197"/>
      <c r="AV134" s="191"/>
      <c r="AW134" s="236">
        <f t="shared" si="158"/>
        <v>4633</v>
      </c>
      <c r="AX134" s="236"/>
      <c r="AY134" s="619"/>
      <c r="AZ134" s="619"/>
      <c r="BA134" s="619"/>
    </row>
    <row r="135" spans="2:53" s="69" customFormat="1" ht="63">
      <c r="B135" s="660">
        <f>B134+1</f>
        <v>96</v>
      </c>
      <c r="C135" s="185" t="s">
        <v>1043</v>
      </c>
      <c r="D135" s="186" t="s">
        <v>1291</v>
      </c>
      <c r="E135" s="660" t="s">
        <v>1044</v>
      </c>
      <c r="F135" s="660">
        <v>9</v>
      </c>
      <c r="G135" s="187">
        <v>5527</v>
      </c>
      <c r="H135" s="687"/>
      <c r="I135" s="187"/>
      <c r="J135" s="687"/>
      <c r="K135" s="187"/>
      <c r="L135" s="187"/>
      <c r="M135" s="687"/>
      <c r="N135" s="187"/>
      <c r="O135" s="688">
        <v>0.25</v>
      </c>
      <c r="P135" s="192">
        <f>G135*O135</f>
        <v>1381.75</v>
      </c>
      <c r="Q135" s="187"/>
      <c r="R135" s="187">
        <f t="shared" si="138"/>
        <v>6908.75</v>
      </c>
      <c r="S135" s="187">
        <v>1</v>
      </c>
      <c r="T135" s="187"/>
      <c r="U135" s="187"/>
      <c r="V135" s="687"/>
      <c r="W135" s="187"/>
      <c r="X135" s="674">
        <v>33</v>
      </c>
      <c r="Y135" s="688">
        <v>0.3</v>
      </c>
      <c r="Z135" s="187">
        <f>R135*Y135</f>
        <v>2072.625</v>
      </c>
      <c r="AA135" s="187"/>
      <c r="AB135" s="187">
        <f>(R135+Z135)*S135</f>
        <v>8981.375</v>
      </c>
      <c r="AC135" s="689">
        <f t="shared" si="141"/>
        <v>4518.625</v>
      </c>
      <c r="AD135" s="689">
        <f t="shared" si="142"/>
        <v>13500</v>
      </c>
      <c r="AE135" s="190">
        <f t="shared" si="143"/>
        <v>13500</v>
      </c>
      <c r="AF135" s="190">
        <f t="shared" si="144"/>
        <v>4518.625</v>
      </c>
      <c r="AG135" s="689">
        <f t="shared" si="145"/>
        <v>8000</v>
      </c>
      <c r="AH135" s="190">
        <f>AG135-(R135*S135)-Z135</f>
        <v>-981.375</v>
      </c>
      <c r="AI135" s="191">
        <f t="shared" si="146"/>
        <v>5527</v>
      </c>
      <c r="AJ135" s="191">
        <f t="shared" si="147"/>
        <v>0</v>
      </c>
      <c r="AK135" s="191">
        <f t="shared" si="148"/>
        <v>6908.75</v>
      </c>
      <c r="AL135" s="191">
        <f t="shared" si="149"/>
        <v>0</v>
      </c>
      <c r="AM135" s="191">
        <f t="shared" si="150"/>
        <v>1381.75</v>
      </c>
      <c r="AN135" s="191">
        <f t="shared" si="150"/>
        <v>0</v>
      </c>
      <c r="AO135" s="193">
        <f t="shared" si="151"/>
        <v>2072.625</v>
      </c>
      <c r="AP135" s="193">
        <f t="shared" si="152"/>
        <v>0</v>
      </c>
      <c r="AQ135" s="193">
        <f t="shared" si="153"/>
        <v>0</v>
      </c>
      <c r="AR135" s="193">
        <f t="shared" si="154"/>
        <v>0</v>
      </c>
      <c r="AS135" s="193">
        <f t="shared" si="155"/>
        <v>0</v>
      </c>
      <c r="AT135" s="197">
        <f t="shared" si="111"/>
        <v>6908.75</v>
      </c>
      <c r="AU135" s="197">
        <f t="shared" si="111"/>
        <v>0</v>
      </c>
      <c r="AV135" s="191"/>
      <c r="AW135" s="236">
        <f t="shared" si="158"/>
        <v>6908.75</v>
      </c>
      <c r="AX135" s="236"/>
      <c r="AY135" s="619"/>
      <c r="AZ135" s="619"/>
      <c r="BA135" s="619"/>
    </row>
    <row r="136" spans="2:53" s="69" customFormat="1" ht="52.5" customHeight="1">
      <c r="B136" s="660"/>
      <c r="C136" s="168" t="s">
        <v>1662</v>
      </c>
      <c r="D136" s="195"/>
      <c r="E136" s="182"/>
      <c r="F136" s="181"/>
      <c r="G136" s="171">
        <f>SUM(G123:G135)</f>
        <v>68275</v>
      </c>
      <c r="H136" s="703"/>
      <c r="I136" s="171"/>
      <c r="J136" s="703"/>
      <c r="K136" s="171"/>
      <c r="L136" s="171"/>
      <c r="M136" s="703"/>
      <c r="N136" s="171"/>
      <c r="O136" s="703"/>
      <c r="P136" s="171"/>
      <c r="Q136" s="171"/>
      <c r="R136" s="171">
        <f>SUM(R123:R135)</f>
        <v>69656.75</v>
      </c>
      <c r="S136" s="171">
        <f>SUM(S123:S135)</f>
        <v>13</v>
      </c>
      <c r="T136" s="171">
        <f>SUM(T123:T135)</f>
        <v>0</v>
      </c>
      <c r="U136" s="171"/>
      <c r="V136" s="693"/>
      <c r="W136" s="171"/>
      <c r="X136" s="693"/>
      <c r="Y136" s="693"/>
      <c r="Z136" s="171">
        <f>SUM(Z123:Z135)</f>
        <v>17564.525000000001</v>
      </c>
      <c r="AA136" s="171">
        <f>SUM(AA123:AA135)</f>
        <v>17760.099999999999</v>
      </c>
      <c r="AB136" s="171">
        <f>SUM(AB123:AB135)</f>
        <v>104981.375</v>
      </c>
      <c r="AC136" s="171">
        <f>SUM(AC123:AC135)</f>
        <v>70518.625</v>
      </c>
      <c r="AD136" s="171">
        <f>SUM(AD123:AD135)</f>
        <v>175500</v>
      </c>
      <c r="AE136" s="171">
        <f t="shared" ref="AE136:AV136" si="159">SUM(AE123:AE135)</f>
        <v>175500</v>
      </c>
      <c r="AF136" s="171">
        <f t="shared" si="159"/>
        <v>70518.625</v>
      </c>
      <c r="AG136" s="171">
        <f>SUM(AG123:AG135)</f>
        <v>104000</v>
      </c>
      <c r="AH136" s="171">
        <f t="shared" si="159"/>
        <v>16778.724999999999</v>
      </c>
      <c r="AI136" s="171">
        <f t="shared" si="159"/>
        <v>63642</v>
      </c>
      <c r="AJ136" s="171">
        <f t="shared" si="159"/>
        <v>0</v>
      </c>
      <c r="AK136" s="171">
        <f t="shared" si="159"/>
        <v>65023.75</v>
      </c>
      <c r="AL136" s="171">
        <f t="shared" si="159"/>
        <v>0</v>
      </c>
      <c r="AM136" s="171">
        <f t="shared" si="159"/>
        <v>1381.75</v>
      </c>
      <c r="AN136" s="171">
        <f t="shared" si="159"/>
        <v>0</v>
      </c>
      <c r="AO136" s="171">
        <f t="shared" si="159"/>
        <v>17564.525000000001</v>
      </c>
      <c r="AP136" s="171">
        <f t="shared" si="159"/>
        <v>0</v>
      </c>
      <c r="AQ136" s="171">
        <f t="shared" si="159"/>
        <v>14393.099999999999</v>
      </c>
      <c r="AR136" s="171">
        <f t="shared" si="159"/>
        <v>0</v>
      </c>
      <c r="AS136" s="171">
        <f t="shared" si="159"/>
        <v>0</v>
      </c>
      <c r="AT136" s="171">
        <f t="shared" si="159"/>
        <v>65023.75</v>
      </c>
      <c r="AU136" s="171">
        <f t="shared" si="159"/>
        <v>0</v>
      </c>
      <c r="AV136" s="171">
        <f t="shared" si="159"/>
        <v>0</v>
      </c>
      <c r="AW136" s="171">
        <f>SUM(AW123:AW135)</f>
        <v>69656.75</v>
      </c>
      <c r="AX136" s="171">
        <f>SUM(AX123:AX135)</f>
        <v>0</v>
      </c>
      <c r="AY136" s="619"/>
      <c r="AZ136" s="619"/>
      <c r="BA136" s="619"/>
    </row>
    <row r="137" spans="2:53" s="69" customFormat="1" ht="33.75" customHeight="1">
      <c r="B137" s="660"/>
      <c r="C137" s="168" t="s">
        <v>1223</v>
      </c>
      <c r="D137" s="195"/>
      <c r="E137" s="182"/>
      <c r="F137" s="181"/>
      <c r="G137" s="172">
        <f>G121+G136</f>
        <v>208600</v>
      </c>
      <c r="H137" s="693"/>
      <c r="I137" s="171"/>
      <c r="J137" s="693"/>
      <c r="K137" s="171"/>
      <c r="L137" s="171"/>
      <c r="M137" s="693"/>
      <c r="N137" s="171"/>
      <c r="O137" s="693"/>
      <c r="P137" s="171"/>
      <c r="Q137" s="171"/>
      <c r="R137" s="171">
        <f t="shared" ref="R137:AV137" si="160">R121+R136</f>
        <v>218472.6</v>
      </c>
      <c r="S137" s="171">
        <f t="shared" si="160"/>
        <v>26</v>
      </c>
      <c r="T137" s="171">
        <f>T121+T136</f>
        <v>2.75</v>
      </c>
      <c r="U137" s="171"/>
      <c r="V137" s="693"/>
      <c r="W137" s="171"/>
      <c r="X137" s="693"/>
      <c r="Y137" s="693"/>
      <c r="Z137" s="171">
        <f>Z121+Z136</f>
        <v>46271.86</v>
      </c>
      <c r="AA137" s="171">
        <f>AA121+AA136</f>
        <v>27316.799999999999</v>
      </c>
      <c r="AB137" s="171">
        <f t="shared" si="160"/>
        <v>247536.3725</v>
      </c>
      <c r="AC137" s="171">
        <f t="shared" si="160"/>
        <v>242963.6275</v>
      </c>
      <c r="AD137" s="171">
        <f>AD121+AD136</f>
        <v>490500</v>
      </c>
      <c r="AE137" s="171">
        <f t="shared" si="160"/>
        <v>490500</v>
      </c>
      <c r="AF137" s="171">
        <f t="shared" si="160"/>
        <v>242963.6275</v>
      </c>
      <c r="AG137" s="171">
        <f>AG121+AG136</f>
        <v>230000</v>
      </c>
      <c r="AH137" s="171">
        <f t="shared" si="160"/>
        <v>9780.4274999999961</v>
      </c>
      <c r="AI137" s="171">
        <f t="shared" si="160"/>
        <v>153390.5</v>
      </c>
      <c r="AJ137" s="171">
        <f t="shared" si="160"/>
        <v>14880.25</v>
      </c>
      <c r="AK137" s="171">
        <f t="shared" si="160"/>
        <v>154869.13750000001</v>
      </c>
      <c r="AL137" s="171">
        <f t="shared" si="160"/>
        <v>16332.324999999999</v>
      </c>
      <c r="AM137" s="171">
        <f t="shared" si="160"/>
        <v>4429.0125000000007</v>
      </c>
      <c r="AN137" s="171">
        <f t="shared" si="160"/>
        <v>1015.9499999999996</v>
      </c>
      <c r="AO137" s="171">
        <f t="shared" si="160"/>
        <v>36751.088750000003</v>
      </c>
      <c r="AP137" s="171">
        <f t="shared" si="160"/>
        <v>3312.4387499999998</v>
      </c>
      <c r="AQ137" s="171">
        <f t="shared" si="160"/>
        <v>19789.287499999999</v>
      </c>
      <c r="AR137" s="171">
        <f t="shared" si="160"/>
        <v>0</v>
      </c>
      <c r="AS137" s="171">
        <f t="shared" si="160"/>
        <v>0</v>
      </c>
      <c r="AT137" s="171">
        <f t="shared" si="160"/>
        <v>151525.51250000001</v>
      </c>
      <c r="AU137" s="171">
        <f t="shared" si="160"/>
        <v>12988.7</v>
      </c>
      <c r="AV137" s="171">
        <f t="shared" si="160"/>
        <v>0</v>
      </c>
      <c r="AW137" s="171">
        <f>AW121+AW136</f>
        <v>180948.625</v>
      </c>
      <c r="AX137" s="171">
        <f>AX121+AX136</f>
        <v>0</v>
      </c>
      <c r="AY137" s="619"/>
      <c r="AZ137" s="619"/>
      <c r="BA137" s="619"/>
    </row>
    <row r="138" spans="2:53" s="69" customFormat="1" ht="33">
      <c r="B138" s="660"/>
      <c r="C138" s="179" t="s">
        <v>1746</v>
      </c>
      <c r="D138" s="180"/>
      <c r="E138" s="181"/>
      <c r="F138" s="181"/>
      <c r="G138" s="181"/>
      <c r="H138" s="682"/>
      <c r="I138" s="181"/>
      <c r="J138" s="682"/>
      <c r="K138" s="181"/>
      <c r="L138" s="181"/>
      <c r="M138" s="682"/>
      <c r="N138" s="181"/>
      <c r="O138" s="682"/>
      <c r="P138" s="181"/>
      <c r="Q138" s="181"/>
      <c r="R138" s="181"/>
      <c r="S138" s="181"/>
      <c r="T138" s="171"/>
      <c r="U138" s="181"/>
      <c r="V138" s="683"/>
      <c r="W138" s="181"/>
      <c r="X138" s="683"/>
      <c r="Y138" s="683"/>
      <c r="Z138" s="181"/>
      <c r="AA138" s="181"/>
      <c r="AB138" s="181"/>
      <c r="AC138" s="183"/>
      <c r="AD138" s="183"/>
      <c r="AE138" s="183"/>
      <c r="AF138" s="183"/>
      <c r="AG138" s="183"/>
      <c r="AH138" s="183"/>
      <c r="AI138" s="191"/>
      <c r="AJ138" s="191"/>
      <c r="AK138" s="191"/>
      <c r="AL138" s="191"/>
      <c r="AM138" s="191"/>
      <c r="AN138" s="191"/>
      <c r="AO138" s="193"/>
      <c r="AP138" s="193"/>
      <c r="AQ138" s="193"/>
      <c r="AR138" s="193"/>
      <c r="AS138" s="193"/>
      <c r="AT138" s="197"/>
      <c r="AU138" s="197"/>
      <c r="AV138" s="191"/>
      <c r="AW138" s="236"/>
      <c r="AX138" s="236"/>
      <c r="AY138" s="619"/>
      <c r="AZ138" s="619"/>
      <c r="BA138" s="619"/>
    </row>
    <row r="139" spans="2:53" s="69" customFormat="1" ht="61.5">
      <c r="B139" s="660"/>
      <c r="C139" s="179" t="s">
        <v>246</v>
      </c>
      <c r="D139" s="180"/>
      <c r="E139" s="181"/>
      <c r="F139" s="181"/>
      <c r="G139" s="181"/>
      <c r="H139" s="682"/>
      <c r="I139" s="181"/>
      <c r="J139" s="682"/>
      <c r="K139" s="181"/>
      <c r="L139" s="181"/>
      <c r="M139" s="682"/>
      <c r="N139" s="181"/>
      <c r="O139" s="682"/>
      <c r="P139" s="181"/>
      <c r="Q139" s="181"/>
      <c r="R139" s="181"/>
      <c r="S139" s="181"/>
      <c r="T139" s="171"/>
      <c r="U139" s="181"/>
      <c r="V139" s="683"/>
      <c r="W139" s="181"/>
      <c r="X139" s="683"/>
      <c r="Y139" s="683"/>
      <c r="Z139" s="181"/>
      <c r="AA139" s="181"/>
      <c r="AB139" s="181"/>
      <c r="AC139" s="183"/>
      <c r="AD139" s="183"/>
      <c r="AE139" s="183"/>
      <c r="AF139" s="183"/>
      <c r="AG139" s="183"/>
      <c r="AH139" s="183"/>
      <c r="AI139" s="191"/>
      <c r="AJ139" s="191"/>
      <c r="AK139" s="191"/>
      <c r="AL139" s="191"/>
      <c r="AM139" s="191"/>
      <c r="AN139" s="191"/>
      <c r="AO139" s="193"/>
      <c r="AP139" s="193"/>
      <c r="AQ139" s="193"/>
      <c r="AR139" s="193"/>
      <c r="AS139" s="193"/>
      <c r="AT139" s="197"/>
      <c r="AU139" s="197"/>
      <c r="AV139" s="191"/>
      <c r="AW139" s="236"/>
      <c r="AX139" s="236"/>
      <c r="AY139" s="619"/>
      <c r="AZ139" s="619"/>
      <c r="BA139" s="619"/>
    </row>
    <row r="140" spans="2:53" s="69" customFormat="1" ht="33">
      <c r="B140" s="660"/>
      <c r="C140" s="208" t="s">
        <v>1309</v>
      </c>
      <c r="D140" s="205"/>
      <c r="E140" s="206"/>
      <c r="F140" s="206"/>
      <c r="G140" s="206"/>
      <c r="H140" s="696"/>
      <c r="I140" s="206"/>
      <c r="J140" s="696"/>
      <c r="K140" s="206"/>
      <c r="L140" s="206"/>
      <c r="M140" s="696"/>
      <c r="N140" s="206"/>
      <c r="O140" s="696"/>
      <c r="P140" s="206"/>
      <c r="Q140" s="206"/>
      <c r="R140" s="206"/>
      <c r="S140" s="206"/>
      <c r="T140" s="206"/>
      <c r="U140" s="206"/>
      <c r="V140" s="697"/>
      <c r="W140" s="206"/>
      <c r="X140" s="697"/>
      <c r="Y140" s="697"/>
      <c r="Z140" s="206"/>
      <c r="AA140" s="206"/>
      <c r="AB140" s="206"/>
      <c r="AC140" s="207"/>
      <c r="AD140" s="207"/>
      <c r="AE140" s="207"/>
      <c r="AF140" s="207"/>
      <c r="AG140" s="207"/>
      <c r="AH140" s="207"/>
      <c r="AI140" s="191"/>
      <c r="AJ140" s="191"/>
      <c r="AK140" s="191"/>
      <c r="AL140" s="191"/>
      <c r="AM140" s="191"/>
      <c r="AN140" s="191"/>
      <c r="AO140" s="193"/>
      <c r="AP140" s="193"/>
      <c r="AQ140" s="193"/>
      <c r="AR140" s="193"/>
      <c r="AS140" s="193"/>
      <c r="AT140" s="197"/>
      <c r="AU140" s="197"/>
      <c r="AV140" s="191"/>
      <c r="AW140" s="236"/>
      <c r="AX140" s="236"/>
      <c r="AY140" s="619"/>
      <c r="AZ140" s="619"/>
      <c r="BA140" s="619"/>
    </row>
    <row r="141" spans="2:53" s="69" customFormat="1" ht="58.5">
      <c r="B141" s="660">
        <f>B135+1</f>
        <v>97</v>
      </c>
      <c r="C141" s="185" t="s">
        <v>247</v>
      </c>
      <c r="D141" s="186" t="s">
        <v>1742</v>
      </c>
      <c r="E141" s="660" t="s">
        <v>1700</v>
      </c>
      <c r="F141" s="660">
        <v>14</v>
      </c>
      <c r="G141" s="187">
        <v>7732</v>
      </c>
      <c r="H141" s="688">
        <v>0.1</v>
      </c>
      <c r="I141" s="187">
        <f>G141*H141</f>
        <v>773.2</v>
      </c>
      <c r="J141" s="688">
        <v>0.4</v>
      </c>
      <c r="K141" s="192">
        <f>(G141+I141)*J141</f>
        <v>3402.0800000000004</v>
      </c>
      <c r="L141" s="189"/>
      <c r="M141" s="674"/>
      <c r="N141" s="660"/>
      <c r="O141" s="674"/>
      <c r="P141" s="660"/>
      <c r="Q141" s="660"/>
      <c r="R141" s="187">
        <f>G141+I141+K141+L141+N141+P141+Q141</f>
        <v>11907.28</v>
      </c>
      <c r="S141" s="187"/>
      <c r="T141" s="187">
        <v>1</v>
      </c>
      <c r="U141" s="660"/>
      <c r="V141" s="674"/>
      <c r="W141" s="660"/>
      <c r="X141" s="674">
        <v>17</v>
      </c>
      <c r="Y141" s="688">
        <v>0.2</v>
      </c>
      <c r="Z141" s="187">
        <f t="shared" ref="Z141:Z150" si="161">R141*Y141</f>
        <v>2381.4560000000001</v>
      </c>
      <c r="AA141" s="187"/>
      <c r="AB141" s="187">
        <f>(R141+Z141)*T141+AA141</f>
        <v>14288.736000000001</v>
      </c>
      <c r="AC141" s="689">
        <f t="shared" ref="AC141:AC150" si="162">AF141</f>
        <v>5711.2639999999992</v>
      </c>
      <c r="AD141" s="689">
        <f t="shared" ref="AD141:AD150" si="163">AB141+AC141</f>
        <v>20000</v>
      </c>
      <c r="AE141" s="190">
        <f>20000*T141</f>
        <v>20000</v>
      </c>
      <c r="AF141" s="190">
        <f t="shared" ref="AF141:AF150" si="164">AE141-AB141</f>
        <v>5711.2639999999992</v>
      </c>
      <c r="AG141" s="689">
        <f>8000*T141</f>
        <v>8000</v>
      </c>
      <c r="AH141" s="190">
        <f>AG141-(R141+Z141)*T141</f>
        <v>-6288.7360000000008</v>
      </c>
      <c r="AI141" s="191">
        <f t="shared" ref="AI141:AI150" si="165">G141*S141</f>
        <v>0</v>
      </c>
      <c r="AJ141" s="191">
        <f t="shared" ref="AJ141:AJ150" si="166">G141*T141</f>
        <v>7732</v>
      </c>
      <c r="AK141" s="191">
        <f t="shared" ref="AK141:AK150" si="167">R141*S141</f>
        <v>0</v>
      </c>
      <c r="AL141" s="191">
        <f>R141*T141</f>
        <v>11907.28</v>
      </c>
      <c r="AM141" s="191">
        <f t="shared" ref="AM141:AN150" si="168">AK141-AI141</f>
        <v>0</v>
      </c>
      <c r="AN141" s="191">
        <f t="shared" si="168"/>
        <v>4175.2800000000007</v>
      </c>
      <c r="AO141" s="193">
        <f t="shared" ref="AO141:AO150" si="169">Z141*S141</f>
        <v>0</v>
      </c>
      <c r="AP141" s="193">
        <f t="shared" ref="AP141:AP150" si="170">Z141*T141</f>
        <v>2381.4560000000001</v>
      </c>
      <c r="AQ141" s="193">
        <f t="shared" ref="AQ141:AQ150" si="171">AA141</f>
        <v>0</v>
      </c>
      <c r="AR141" s="193">
        <f t="shared" ref="AR141:AR150" si="172">W141*S141</f>
        <v>0</v>
      </c>
      <c r="AS141" s="193">
        <f t="shared" ref="AS141:AS150" si="173">W141*T141</f>
        <v>0</v>
      </c>
      <c r="AT141" s="197">
        <f t="shared" si="111"/>
        <v>0</v>
      </c>
      <c r="AU141" s="197">
        <f t="shared" si="111"/>
        <v>11907.28</v>
      </c>
      <c r="AV141" s="191"/>
      <c r="AW141" s="236">
        <f>R141*T141</f>
        <v>11907.28</v>
      </c>
      <c r="AX141" s="236"/>
      <c r="AY141" s="619"/>
      <c r="AZ141" s="619"/>
      <c r="BA141" s="619"/>
    </row>
    <row r="142" spans="2:53" s="69" customFormat="1" ht="58.5">
      <c r="B142" s="660">
        <f>B141+1</f>
        <v>98</v>
      </c>
      <c r="C142" s="185" t="s">
        <v>1665</v>
      </c>
      <c r="D142" s="186" t="s">
        <v>248</v>
      </c>
      <c r="E142" s="660" t="s">
        <v>1005</v>
      </c>
      <c r="F142" s="660">
        <v>14</v>
      </c>
      <c r="G142" s="187">
        <v>7732</v>
      </c>
      <c r="H142" s="687"/>
      <c r="I142" s="187"/>
      <c r="J142" s="688"/>
      <c r="K142" s="192"/>
      <c r="L142" s="189"/>
      <c r="M142" s="674"/>
      <c r="N142" s="660"/>
      <c r="O142" s="674"/>
      <c r="P142" s="660"/>
      <c r="Q142" s="660"/>
      <c r="R142" s="187">
        <f t="shared" ref="R142:R150" si="174">G142+I142+K142+L142+N142+P142+Q142</f>
        <v>7732</v>
      </c>
      <c r="S142" s="187"/>
      <c r="T142" s="187">
        <v>0.5</v>
      </c>
      <c r="U142" s="660"/>
      <c r="V142" s="674"/>
      <c r="W142" s="660"/>
      <c r="X142" s="674">
        <v>30</v>
      </c>
      <c r="Y142" s="688">
        <v>0.3</v>
      </c>
      <c r="Z142" s="187">
        <f t="shared" si="161"/>
        <v>2319.6</v>
      </c>
      <c r="AA142" s="187"/>
      <c r="AB142" s="187">
        <f>(R142+Z142)*T142+AA142</f>
        <v>5025.8</v>
      </c>
      <c r="AC142" s="689">
        <f t="shared" si="162"/>
        <v>4974.2</v>
      </c>
      <c r="AD142" s="689">
        <f t="shared" si="163"/>
        <v>10000</v>
      </c>
      <c r="AE142" s="190">
        <f>20000*T142</f>
        <v>10000</v>
      </c>
      <c r="AF142" s="190">
        <f t="shared" si="164"/>
        <v>4974.2</v>
      </c>
      <c r="AG142" s="689">
        <f>8000*T142</f>
        <v>4000</v>
      </c>
      <c r="AH142" s="190">
        <f>AG142-(R142+Z142)*T142</f>
        <v>-1025.8000000000002</v>
      </c>
      <c r="AI142" s="191">
        <f t="shared" si="165"/>
        <v>0</v>
      </c>
      <c r="AJ142" s="191">
        <f t="shared" si="166"/>
        <v>3866</v>
      </c>
      <c r="AK142" s="191">
        <f t="shared" si="167"/>
        <v>0</v>
      </c>
      <c r="AL142" s="191">
        <f t="shared" ref="AL142:AL150" si="175">R142*T142</f>
        <v>3866</v>
      </c>
      <c r="AM142" s="191">
        <f t="shared" si="168"/>
        <v>0</v>
      </c>
      <c r="AN142" s="191">
        <f t="shared" si="168"/>
        <v>0</v>
      </c>
      <c r="AO142" s="193">
        <f t="shared" si="169"/>
        <v>0</v>
      </c>
      <c r="AP142" s="193">
        <f t="shared" si="170"/>
        <v>1159.8</v>
      </c>
      <c r="AQ142" s="193">
        <f t="shared" si="171"/>
        <v>0</v>
      </c>
      <c r="AR142" s="193">
        <f t="shared" si="172"/>
        <v>0</v>
      </c>
      <c r="AS142" s="193">
        <f t="shared" si="173"/>
        <v>0</v>
      </c>
      <c r="AT142" s="197">
        <f>AK142</f>
        <v>0</v>
      </c>
      <c r="AU142" s="197">
        <f t="shared" si="111"/>
        <v>3866</v>
      </c>
      <c r="AV142" s="191"/>
      <c r="AW142" s="236">
        <f>R142*T142</f>
        <v>3866</v>
      </c>
      <c r="AX142" s="236"/>
      <c r="AY142" s="619"/>
      <c r="AZ142" s="619"/>
      <c r="BA142" s="619"/>
    </row>
    <row r="143" spans="2:53" s="69" customFormat="1" ht="58.5">
      <c r="B143" s="660"/>
      <c r="C143" s="185" t="s">
        <v>1665</v>
      </c>
      <c r="D143" s="186" t="s">
        <v>249</v>
      </c>
      <c r="E143" s="660"/>
      <c r="F143" s="660">
        <v>14</v>
      </c>
      <c r="G143" s="187">
        <v>7732</v>
      </c>
      <c r="H143" s="687"/>
      <c r="I143" s="187"/>
      <c r="J143" s="688"/>
      <c r="K143" s="192"/>
      <c r="L143" s="187"/>
      <c r="M143" s="687"/>
      <c r="N143" s="187"/>
      <c r="O143" s="687"/>
      <c r="P143" s="187"/>
      <c r="Q143" s="187"/>
      <c r="R143" s="187">
        <f t="shared" si="174"/>
        <v>7732</v>
      </c>
      <c r="S143" s="187"/>
      <c r="T143" s="187"/>
      <c r="U143" s="187"/>
      <c r="V143" s="687"/>
      <c r="W143" s="187"/>
      <c r="X143" s="769"/>
      <c r="Y143" s="688"/>
      <c r="Z143" s="194">
        <f t="shared" si="161"/>
        <v>0</v>
      </c>
      <c r="AA143" s="187"/>
      <c r="AB143" s="187">
        <f>(R143+Z143)*T143+AA143</f>
        <v>0</v>
      </c>
      <c r="AC143" s="689">
        <f t="shared" si="162"/>
        <v>0</v>
      </c>
      <c r="AD143" s="689">
        <f t="shared" si="163"/>
        <v>0</v>
      </c>
      <c r="AE143" s="190">
        <f>20000*T143</f>
        <v>0</v>
      </c>
      <c r="AF143" s="190">
        <f t="shared" si="164"/>
        <v>0</v>
      </c>
      <c r="AG143" s="689">
        <f>8000*T143</f>
        <v>0</v>
      </c>
      <c r="AH143" s="190">
        <f>AG143-(R143+Z143)*T143</f>
        <v>0</v>
      </c>
      <c r="AI143" s="191">
        <f t="shared" si="165"/>
        <v>0</v>
      </c>
      <c r="AJ143" s="191">
        <f t="shared" si="166"/>
        <v>0</v>
      </c>
      <c r="AK143" s="191">
        <f t="shared" si="167"/>
        <v>0</v>
      </c>
      <c r="AL143" s="191">
        <f t="shared" si="175"/>
        <v>0</v>
      </c>
      <c r="AM143" s="191">
        <f t="shared" si="168"/>
        <v>0</v>
      </c>
      <c r="AN143" s="191">
        <f t="shared" si="168"/>
        <v>0</v>
      </c>
      <c r="AO143" s="193">
        <f t="shared" si="169"/>
        <v>0</v>
      </c>
      <c r="AP143" s="193">
        <f t="shared" si="170"/>
        <v>0</v>
      </c>
      <c r="AQ143" s="193">
        <f t="shared" si="171"/>
        <v>0</v>
      </c>
      <c r="AR143" s="193">
        <f t="shared" si="172"/>
        <v>0</v>
      </c>
      <c r="AS143" s="193">
        <f t="shared" si="173"/>
        <v>0</v>
      </c>
      <c r="AT143" s="197">
        <f>AK143</f>
        <v>0</v>
      </c>
      <c r="AU143" s="197">
        <f t="shared" si="111"/>
        <v>0</v>
      </c>
      <c r="AV143" s="191"/>
      <c r="AW143" s="236">
        <f>R143*T143</f>
        <v>0</v>
      </c>
      <c r="AX143" s="236"/>
      <c r="AY143" s="619"/>
      <c r="AZ143" s="619"/>
      <c r="BA143" s="619"/>
    </row>
    <row r="144" spans="2:53" s="69" customFormat="1" ht="33">
      <c r="B144" s="660">
        <f>B142+1</f>
        <v>99</v>
      </c>
      <c r="C144" s="185" t="s">
        <v>1665</v>
      </c>
      <c r="D144" s="186"/>
      <c r="E144" s="660" t="s">
        <v>1667</v>
      </c>
      <c r="F144" s="660">
        <v>14</v>
      </c>
      <c r="G144" s="187">
        <v>7732</v>
      </c>
      <c r="H144" s="687"/>
      <c r="I144" s="187"/>
      <c r="J144" s="688"/>
      <c r="K144" s="192"/>
      <c r="L144" s="187"/>
      <c r="M144" s="687"/>
      <c r="N144" s="187"/>
      <c r="O144" s="687"/>
      <c r="P144" s="187"/>
      <c r="Q144" s="187"/>
      <c r="R144" s="187">
        <f t="shared" si="174"/>
        <v>7732</v>
      </c>
      <c r="S144" s="187">
        <v>0.25</v>
      </c>
      <c r="T144" s="187"/>
      <c r="U144" s="187"/>
      <c r="V144" s="687"/>
      <c r="W144" s="187"/>
      <c r="X144" s="769"/>
      <c r="Y144" s="688"/>
      <c r="Z144" s="187">
        <f>R144*Y144</f>
        <v>0</v>
      </c>
      <c r="AA144" s="187">
        <f>AH144</f>
        <v>67</v>
      </c>
      <c r="AB144" s="187">
        <f>(R144+Z144)*S144+AA144</f>
        <v>2000</v>
      </c>
      <c r="AC144" s="689">
        <f t="shared" si="162"/>
        <v>3000</v>
      </c>
      <c r="AD144" s="689">
        <f t="shared" si="163"/>
        <v>5000</v>
      </c>
      <c r="AE144" s="190">
        <f>20000*S144</f>
        <v>5000</v>
      </c>
      <c r="AF144" s="190">
        <f>AE144-AB144</f>
        <v>3000</v>
      </c>
      <c r="AG144" s="689">
        <f>8000*S144</f>
        <v>2000</v>
      </c>
      <c r="AH144" s="190">
        <f>AG144-(R144+Z144)*S144</f>
        <v>67</v>
      </c>
      <c r="AI144" s="191">
        <f t="shared" si="165"/>
        <v>1933</v>
      </c>
      <c r="AJ144" s="191">
        <f t="shared" si="166"/>
        <v>0</v>
      </c>
      <c r="AK144" s="191">
        <f t="shared" si="167"/>
        <v>1933</v>
      </c>
      <c r="AL144" s="191">
        <f t="shared" si="175"/>
        <v>0</v>
      </c>
      <c r="AM144" s="191">
        <f t="shared" si="168"/>
        <v>0</v>
      </c>
      <c r="AN144" s="191">
        <f t="shared" si="168"/>
        <v>0</v>
      </c>
      <c r="AO144" s="193">
        <f t="shared" si="169"/>
        <v>0</v>
      </c>
      <c r="AP144" s="193">
        <f t="shared" si="170"/>
        <v>0</v>
      </c>
      <c r="AQ144" s="193">
        <f t="shared" si="171"/>
        <v>67</v>
      </c>
      <c r="AR144" s="193">
        <f t="shared" si="172"/>
        <v>0</v>
      </c>
      <c r="AS144" s="193">
        <f t="shared" si="173"/>
        <v>0</v>
      </c>
      <c r="AT144" s="197">
        <f>AK144</f>
        <v>1933</v>
      </c>
      <c r="AU144" s="197">
        <f t="shared" si="111"/>
        <v>0</v>
      </c>
      <c r="AV144" s="191"/>
      <c r="AW144" s="236">
        <f>R144*S144</f>
        <v>1933</v>
      </c>
      <c r="AX144" s="236"/>
      <c r="AY144" s="619"/>
      <c r="AZ144" s="619"/>
      <c r="BA144" s="619"/>
    </row>
    <row r="145" spans="2:53" s="69" customFormat="1" ht="58.5">
      <c r="B145" s="660">
        <f>B144+1</f>
        <v>100</v>
      </c>
      <c r="C145" s="185" t="s">
        <v>1665</v>
      </c>
      <c r="D145" s="186" t="s">
        <v>226</v>
      </c>
      <c r="E145" s="660" t="s">
        <v>104</v>
      </c>
      <c r="F145" s="660">
        <v>11</v>
      </c>
      <c r="G145" s="187">
        <v>6294</v>
      </c>
      <c r="H145" s="674"/>
      <c r="I145" s="660"/>
      <c r="J145" s="865">
        <v>0.2</v>
      </c>
      <c r="K145" s="187">
        <f>(G145+I145)*J145</f>
        <v>1258.8000000000002</v>
      </c>
      <c r="L145" s="189"/>
      <c r="M145" s="674"/>
      <c r="N145" s="660"/>
      <c r="O145" s="674"/>
      <c r="P145" s="660"/>
      <c r="Q145" s="660"/>
      <c r="R145" s="187">
        <f t="shared" si="174"/>
        <v>7552.8</v>
      </c>
      <c r="S145" s="187">
        <v>0.75</v>
      </c>
      <c r="T145" s="187"/>
      <c r="U145" s="660"/>
      <c r="V145" s="674"/>
      <c r="W145" s="660"/>
      <c r="X145" s="674">
        <v>0</v>
      </c>
      <c r="Y145" s="688">
        <v>0</v>
      </c>
      <c r="Z145" s="187">
        <f t="shared" si="161"/>
        <v>0</v>
      </c>
      <c r="AA145" s="187">
        <f>AH145</f>
        <v>335.39999999999964</v>
      </c>
      <c r="AB145" s="187">
        <f>(R145+Z145)*S145+AA145</f>
        <v>6000</v>
      </c>
      <c r="AC145" s="689">
        <f>AF145</f>
        <v>9000</v>
      </c>
      <c r="AD145" s="689">
        <f t="shared" si="163"/>
        <v>15000</v>
      </c>
      <c r="AE145" s="190">
        <f>20000*S145</f>
        <v>15000</v>
      </c>
      <c r="AF145" s="190">
        <f>AE145-AB145</f>
        <v>9000</v>
      </c>
      <c r="AG145" s="689">
        <f>8000*S145</f>
        <v>6000</v>
      </c>
      <c r="AH145" s="190">
        <f>AG145-(R145+Z145)*S145</f>
        <v>335.39999999999964</v>
      </c>
      <c r="AI145" s="191">
        <f>G145*S145</f>
        <v>4720.5</v>
      </c>
      <c r="AJ145" s="191">
        <f>G145*T145</f>
        <v>0</v>
      </c>
      <c r="AK145" s="191">
        <f t="shared" si="167"/>
        <v>5664.6</v>
      </c>
      <c r="AL145" s="191">
        <f t="shared" si="175"/>
        <v>0</v>
      </c>
      <c r="AM145" s="191">
        <f t="shared" si="168"/>
        <v>944.10000000000036</v>
      </c>
      <c r="AN145" s="191">
        <f t="shared" si="168"/>
        <v>0</v>
      </c>
      <c r="AO145" s="193">
        <f t="shared" si="169"/>
        <v>0</v>
      </c>
      <c r="AP145" s="193">
        <f t="shared" si="170"/>
        <v>0</v>
      </c>
      <c r="AQ145" s="193">
        <f t="shared" si="171"/>
        <v>335.39999999999964</v>
      </c>
      <c r="AR145" s="193">
        <f t="shared" si="172"/>
        <v>0</v>
      </c>
      <c r="AS145" s="193">
        <f t="shared" si="173"/>
        <v>0</v>
      </c>
      <c r="AT145" s="197">
        <f t="shared" si="111"/>
        <v>5664.6</v>
      </c>
      <c r="AU145" s="197">
        <f t="shared" si="111"/>
        <v>0</v>
      </c>
      <c r="AV145" s="191"/>
      <c r="AW145" s="236">
        <f>R145*S145</f>
        <v>5664.6</v>
      </c>
      <c r="AX145" s="236"/>
      <c r="AY145" s="619"/>
      <c r="AZ145" s="619"/>
      <c r="BA145" s="619"/>
    </row>
    <row r="146" spans="2:53" s="69" customFormat="1" ht="33">
      <c r="B146" s="660">
        <f>1+B145</f>
        <v>101</v>
      </c>
      <c r="C146" s="185" t="s">
        <v>1665</v>
      </c>
      <c r="D146" s="186" t="s">
        <v>1674</v>
      </c>
      <c r="E146" s="660" t="s">
        <v>105</v>
      </c>
      <c r="F146" s="660">
        <v>11</v>
      </c>
      <c r="G146" s="187">
        <v>6294</v>
      </c>
      <c r="H146" s="674"/>
      <c r="I146" s="660"/>
      <c r="J146" s="688"/>
      <c r="K146" s="192"/>
      <c r="L146" s="189"/>
      <c r="M146" s="674"/>
      <c r="N146" s="660"/>
      <c r="O146" s="674"/>
      <c r="P146" s="660"/>
      <c r="Q146" s="660"/>
      <c r="R146" s="187">
        <f t="shared" si="174"/>
        <v>6294</v>
      </c>
      <c r="S146" s="187">
        <v>0.5</v>
      </c>
      <c r="T146" s="187"/>
      <c r="U146" s="660"/>
      <c r="V146" s="674"/>
      <c r="W146" s="660"/>
      <c r="X146" s="674">
        <v>20</v>
      </c>
      <c r="Y146" s="688">
        <v>0.3</v>
      </c>
      <c r="Z146" s="187">
        <f t="shared" si="161"/>
        <v>1888.1999999999998</v>
      </c>
      <c r="AA146" s="187"/>
      <c r="AB146" s="187">
        <f>(R146+Z146)*S146+AA146</f>
        <v>4091.1</v>
      </c>
      <c r="AC146" s="689">
        <f>AF146</f>
        <v>5908.9</v>
      </c>
      <c r="AD146" s="689">
        <f t="shared" si="163"/>
        <v>10000</v>
      </c>
      <c r="AE146" s="190">
        <f>20000*S146</f>
        <v>10000</v>
      </c>
      <c r="AF146" s="190">
        <f>AE146-AB146</f>
        <v>5908.9</v>
      </c>
      <c r="AG146" s="689">
        <f>8000*S146</f>
        <v>4000</v>
      </c>
      <c r="AH146" s="190">
        <f>AG146-(R146+Z146)*S146</f>
        <v>-91.099999999999909</v>
      </c>
      <c r="AI146" s="191">
        <f>G146*S146</f>
        <v>3147</v>
      </c>
      <c r="AJ146" s="191">
        <f>G146*T146</f>
        <v>0</v>
      </c>
      <c r="AK146" s="191">
        <f t="shared" si="167"/>
        <v>3147</v>
      </c>
      <c r="AL146" s="191">
        <f t="shared" si="175"/>
        <v>0</v>
      </c>
      <c r="AM146" s="191">
        <f t="shared" si="168"/>
        <v>0</v>
      </c>
      <c r="AN146" s="191">
        <f t="shared" si="168"/>
        <v>0</v>
      </c>
      <c r="AO146" s="193">
        <f t="shared" si="169"/>
        <v>944.09999999999991</v>
      </c>
      <c r="AP146" s="193">
        <f t="shared" si="170"/>
        <v>0</v>
      </c>
      <c r="AQ146" s="193">
        <f t="shared" si="171"/>
        <v>0</v>
      </c>
      <c r="AR146" s="193">
        <f t="shared" si="172"/>
        <v>0</v>
      </c>
      <c r="AS146" s="193">
        <f t="shared" si="173"/>
        <v>0</v>
      </c>
      <c r="AT146" s="197">
        <f t="shared" si="111"/>
        <v>3147</v>
      </c>
      <c r="AU146" s="197">
        <f t="shared" si="111"/>
        <v>0</v>
      </c>
      <c r="AV146" s="191"/>
      <c r="AW146" s="236">
        <f>R146*S146</f>
        <v>3147</v>
      </c>
      <c r="AX146" s="236"/>
      <c r="AY146" s="619"/>
      <c r="AZ146" s="619"/>
      <c r="BA146" s="619"/>
    </row>
    <row r="147" spans="2:53" s="69" customFormat="1" ht="33">
      <c r="B147" s="660"/>
      <c r="C147" s="185"/>
      <c r="D147" s="186"/>
      <c r="E147" s="660"/>
      <c r="F147" s="660"/>
      <c r="G147" s="187"/>
      <c r="H147" s="674"/>
      <c r="I147" s="660"/>
      <c r="J147" s="688">
        <v>0.2</v>
      </c>
      <c r="K147" s="192">
        <f>(G147+I147)*J147</f>
        <v>0</v>
      </c>
      <c r="L147" s="189"/>
      <c r="M147" s="674"/>
      <c r="N147" s="660"/>
      <c r="O147" s="674"/>
      <c r="P147" s="660"/>
      <c r="Q147" s="660"/>
      <c r="R147" s="187">
        <f t="shared" si="174"/>
        <v>0</v>
      </c>
      <c r="S147" s="187"/>
      <c r="T147" s="187"/>
      <c r="U147" s="660"/>
      <c r="V147" s="674"/>
      <c r="W147" s="660"/>
      <c r="X147" s="674"/>
      <c r="Y147" s="688">
        <v>0</v>
      </c>
      <c r="Z147" s="187">
        <f t="shared" si="161"/>
        <v>0</v>
      </c>
      <c r="AA147" s="187"/>
      <c r="AB147" s="187">
        <f>(R147+Z147)*S147+AA147</f>
        <v>0</v>
      </c>
      <c r="AC147" s="689">
        <f>AF147</f>
        <v>0</v>
      </c>
      <c r="AD147" s="689">
        <f t="shared" si="163"/>
        <v>0</v>
      </c>
      <c r="AE147" s="190">
        <f>20000*S147</f>
        <v>0</v>
      </c>
      <c r="AF147" s="190">
        <f>AE147-AB147</f>
        <v>0</v>
      </c>
      <c r="AG147" s="689">
        <f>7100*S147</f>
        <v>0</v>
      </c>
      <c r="AH147" s="190">
        <f>AG147-(R147+Z147)*S147</f>
        <v>0</v>
      </c>
      <c r="AI147" s="191">
        <f>G147*S147</f>
        <v>0</v>
      </c>
      <c r="AJ147" s="191">
        <f>G147*T147</f>
        <v>0</v>
      </c>
      <c r="AK147" s="191">
        <f t="shared" si="167"/>
        <v>0</v>
      </c>
      <c r="AL147" s="191">
        <f t="shared" si="175"/>
        <v>0</v>
      </c>
      <c r="AM147" s="191">
        <f t="shared" si="168"/>
        <v>0</v>
      </c>
      <c r="AN147" s="191">
        <f t="shared" si="168"/>
        <v>0</v>
      </c>
      <c r="AO147" s="193">
        <f t="shared" si="169"/>
        <v>0</v>
      </c>
      <c r="AP147" s="193">
        <f t="shared" si="170"/>
        <v>0</v>
      </c>
      <c r="AQ147" s="193">
        <f t="shared" si="171"/>
        <v>0</v>
      </c>
      <c r="AR147" s="193">
        <f t="shared" si="172"/>
        <v>0</v>
      </c>
      <c r="AS147" s="193">
        <f t="shared" si="173"/>
        <v>0</v>
      </c>
      <c r="AT147" s="197">
        <f t="shared" si="111"/>
        <v>0</v>
      </c>
      <c r="AU147" s="197">
        <f t="shared" si="111"/>
        <v>0</v>
      </c>
      <c r="AV147" s="191"/>
      <c r="AW147" s="236">
        <f>R147*S147</f>
        <v>0</v>
      </c>
      <c r="AX147" s="236"/>
      <c r="AY147" s="619"/>
      <c r="AZ147" s="619"/>
      <c r="BA147" s="619"/>
    </row>
    <row r="148" spans="2:53" s="69" customFormat="1" ht="33">
      <c r="B148" s="660"/>
      <c r="C148" s="185"/>
      <c r="D148" s="186"/>
      <c r="E148" s="866"/>
      <c r="F148" s="660"/>
      <c r="G148" s="187"/>
      <c r="H148" s="674"/>
      <c r="I148" s="660"/>
      <c r="J148" s="674"/>
      <c r="K148" s="660"/>
      <c r="L148" s="660"/>
      <c r="M148" s="674"/>
      <c r="N148" s="210"/>
      <c r="O148" s="688">
        <v>0.15</v>
      </c>
      <c r="P148" s="192">
        <f>G148*O148</f>
        <v>0</v>
      </c>
      <c r="Q148" s="189"/>
      <c r="R148" s="187">
        <f t="shared" si="174"/>
        <v>0</v>
      </c>
      <c r="S148" s="187"/>
      <c r="T148" s="187"/>
      <c r="U148" s="660"/>
      <c r="V148" s="674"/>
      <c r="W148" s="660"/>
      <c r="X148" s="674"/>
      <c r="Y148" s="688"/>
      <c r="Z148" s="187">
        <f>R148*Y148</f>
        <v>0</v>
      </c>
      <c r="AA148" s="187"/>
      <c r="AB148" s="187">
        <f>(R148+Z148)*T148+AA148</f>
        <v>0</v>
      </c>
      <c r="AC148" s="689">
        <f>AF148</f>
        <v>0</v>
      </c>
      <c r="AD148" s="689">
        <f t="shared" si="163"/>
        <v>0</v>
      </c>
      <c r="AE148" s="190">
        <f>20000*T148</f>
        <v>0</v>
      </c>
      <c r="AF148" s="190">
        <f t="shared" si="164"/>
        <v>0</v>
      </c>
      <c r="AG148" s="689">
        <f>8000*T148</f>
        <v>0</v>
      </c>
      <c r="AH148" s="190">
        <f>AG148-(R148+Z148)*T148</f>
        <v>0</v>
      </c>
      <c r="AI148" s="191">
        <f t="shared" si="165"/>
        <v>0</v>
      </c>
      <c r="AJ148" s="191">
        <f t="shared" si="166"/>
        <v>0</v>
      </c>
      <c r="AK148" s="191">
        <f t="shared" si="167"/>
        <v>0</v>
      </c>
      <c r="AL148" s="191">
        <f t="shared" si="175"/>
        <v>0</v>
      </c>
      <c r="AM148" s="191">
        <f t="shared" si="168"/>
        <v>0</v>
      </c>
      <c r="AN148" s="191">
        <f t="shared" si="168"/>
        <v>0</v>
      </c>
      <c r="AO148" s="193">
        <f t="shared" si="169"/>
        <v>0</v>
      </c>
      <c r="AP148" s="193">
        <f t="shared" si="170"/>
        <v>0</v>
      </c>
      <c r="AQ148" s="193">
        <f t="shared" si="171"/>
        <v>0</v>
      </c>
      <c r="AR148" s="193">
        <f t="shared" si="172"/>
        <v>0</v>
      </c>
      <c r="AS148" s="193">
        <f t="shared" si="173"/>
        <v>0</v>
      </c>
      <c r="AT148" s="197">
        <f t="shared" si="111"/>
        <v>0</v>
      </c>
      <c r="AU148" s="197">
        <f t="shared" si="111"/>
        <v>0</v>
      </c>
      <c r="AV148" s="191"/>
      <c r="AW148" s="236">
        <f>R148*T148</f>
        <v>0</v>
      </c>
      <c r="AX148" s="236"/>
      <c r="AY148" s="619"/>
      <c r="AZ148" s="619"/>
      <c r="BA148" s="619"/>
    </row>
    <row r="149" spans="2:53" s="69" customFormat="1" ht="33">
      <c r="B149" s="660"/>
      <c r="C149" s="185"/>
      <c r="D149" s="186"/>
      <c r="E149" s="866"/>
      <c r="F149" s="660"/>
      <c r="G149" s="187"/>
      <c r="H149" s="674"/>
      <c r="I149" s="660"/>
      <c r="J149" s="674"/>
      <c r="K149" s="660"/>
      <c r="L149" s="660"/>
      <c r="M149" s="674"/>
      <c r="N149" s="210"/>
      <c r="O149" s="688">
        <v>0.15</v>
      </c>
      <c r="P149" s="192">
        <f>G149*O149</f>
        <v>0</v>
      </c>
      <c r="Q149" s="189"/>
      <c r="R149" s="187">
        <f t="shared" si="174"/>
        <v>0</v>
      </c>
      <c r="S149" s="187"/>
      <c r="T149" s="187"/>
      <c r="U149" s="660"/>
      <c r="V149" s="674"/>
      <c r="W149" s="660"/>
      <c r="X149" s="674"/>
      <c r="Y149" s="688"/>
      <c r="Z149" s="187">
        <f>R149*Y149</f>
        <v>0</v>
      </c>
      <c r="AA149" s="187"/>
      <c r="AB149" s="187">
        <f>(R149+Z149)*S149+AA149</f>
        <v>0</v>
      </c>
      <c r="AC149" s="689">
        <f>AF149</f>
        <v>0</v>
      </c>
      <c r="AD149" s="689">
        <f t="shared" si="163"/>
        <v>0</v>
      </c>
      <c r="AE149" s="190">
        <f>20000*S149</f>
        <v>0</v>
      </c>
      <c r="AF149" s="190">
        <f>AE149-AB149</f>
        <v>0</v>
      </c>
      <c r="AG149" s="689">
        <f>8000*S149</f>
        <v>0</v>
      </c>
      <c r="AH149" s="190">
        <f>AG149-(R149+Z149)*S149</f>
        <v>0</v>
      </c>
      <c r="AI149" s="191"/>
      <c r="AJ149" s="191"/>
      <c r="AK149" s="191"/>
      <c r="AL149" s="191"/>
      <c r="AM149" s="191"/>
      <c r="AN149" s="191"/>
      <c r="AO149" s="193"/>
      <c r="AP149" s="193"/>
      <c r="AQ149" s="193"/>
      <c r="AR149" s="193"/>
      <c r="AS149" s="193">
        <f t="shared" si="173"/>
        <v>0</v>
      </c>
      <c r="AT149" s="197"/>
      <c r="AU149" s="197"/>
      <c r="AV149" s="191"/>
      <c r="AW149" s="236">
        <f>R149*S149</f>
        <v>0</v>
      </c>
      <c r="AX149" s="236"/>
      <c r="AY149" s="619"/>
      <c r="AZ149" s="619"/>
      <c r="BA149" s="619"/>
    </row>
    <row r="150" spans="2:53" s="69" customFormat="1" ht="33">
      <c r="B150" s="660"/>
      <c r="C150" s="185"/>
      <c r="D150" s="186"/>
      <c r="E150" s="866"/>
      <c r="F150" s="660"/>
      <c r="G150" s="187"/>
      <c r="H150" s="674"/>
      <c r="I150" s="660"/>
      <c r="J150" s="674"/>
      <c r="K150" s="660"/>
      <c r="L150" s="660"/>
      <c r="M150" s="674"/>
      <c r="N150" s="210"/>
      <c r="O150" s="688">
        <v>0.15</v>
      </c>
      <c r="P150" s="192">
        <f>G150*O150</f>
        <v>0</v>
      </c>
      <c r="Q150" s="189"/>
      <c r="R150" s="187">
        <f t="shared" si="174"/>
        <v>0</v>
      </c>
      <c r="S150" s="187"/>
      <c r="T150" s="187"/>
      <c r="U150" s="660"/>
      <c r="V150" s="674"/>
      <c r="W150" s="660"/>
      <c r="X150" s="674"/>
      <c r="Y150" s="688"/>
      <c r="Z150" s="187">
        <f t="shared" si="161"/>
        <v>0</v>
      </c>
      <c r="AA150" s="187"/>
      <c r="AB150" s="187">
        <f>(R150+Z150)*T150+AA150</f>
        <v>0</v>
      </c>
      <c r="AC150" s="689">
        <f t="shared" si="162"/>
        <v>0</v>
      </c>
      <c r="AD150" s="689">
        <f t="shared" si="163"/>
        <v>0</v>
      </c>
      <c r="AE150" s="190">
        <f>20000*T150</f>
        <v>0</v>
      </c>
      <c r="AF150" s="190">
        <f t="shared" si="164"/>
        <v>0</v>
      </c>
      <c r="AG150" s="689">
        <f>8000*T150</f>
        <v>0</v>
      </c>
      <c r="AH150" s="190">
        <f>AG150-(R150+Z150)*T150</f>
        <v>0</v>
      </c>
      <c r="AI150" s="191">
        <f t="shared" si="165"/>
        <v>0</v>
      </c>
      <c r="AJ150" s="191">
        <f t="shared" si="166"/>
        <v>0</v>
      </c>
      <c r="AK150" s="191">
        <f t="shared" si="167"/>
        <v>0</v>
      </c>
      <c r="AL150" s="191">
        <f t="shared" si="175"/>
        <v>0</v>
      </c>
      <c r="AM150" s="191">
        <f t="shared" si="168"/>
        <v>0</v>
      </c>
      <c r="AN150" s="191">
        <f t="shared" si="168"/>
        <v>0</v>
      </c>
      <c r="AO150" s="193">
        <f t="shared" si="169"/>
        <v>0</v>
      </c>
      <c r="AP150" s="193">
        <f t="shared" si="170"/>
        <v>0</v>
      </c>
      <c r="AQ150" s="193">
        <f t="shared" si="171"/>
        <v>0</v>
      </c>
      <c r="AR150" s="193">
        <f t="shared" si="172"/>
        <v>0</v>
      </c>
      <c r="AS150" s="193">
        <f t="shared" si="173"/>
        <v>0</v>
      </c>
      <c r="AT150" s="197">
        <f t="shared" si="111"/>
        <v>0</v>
      </c>
      <c r="AU150" s="197">
        <f t="shared" si="111"/>
        <v>0</v>
      </c>
      <c r="AV150" s="191"/>
      <c r="AW150" s="236">
        <f>R150*T150</f>
        <v>0</v>
      </c>
      <c r="AX150" s="236"/>
      <c r="AY150" s="619"/>
      <c r="AZ150" s="619"/>
      <c r="BA150" s="619"/>
    </row>
    <row r="151" spans="2:53" s="69" customFormat="1" ht="31.5">
      <c r="B151" s="660"/>
      <c r="C151" s="168" t="s">
        <v>1662</v>
      </c>
      <c r="D151" s="195"/>
      <c r="E151" s="181"/>
      <c r="F151" s="181"/>
      <c r="G151" s="171">
        <f>SUM(G141:G150)</f>
        <v>43516</v>
      </c>
      <c r="H151" s="703"/>
      <c r="I151" s="171">
        <f>SUM(I141:I150)</f>
        <v>773.2</v>
      </c>
      <c r="J151" s="703"/>
      <c r="K151" s="173">
        <f>SUM(K141:K150)</f>
        <v>4660.880000000001</v>
      </c>
      <c r="L151" s="171"/>
      <c r="M151" s="703"/>
      <c r="N151" s="171"/>
      <c r="O151" s="703"/>
      <c r="P151" s="171">
        <f>SUM(P141:P150)</f>
        <v>0</v>
      </c>
      <c r="Q151" s="171"/>
      <c r="R151" s="171">
        <f>SUM(R141:R150)</f>
        <v>48950.080000000002</v>
      </c>
      <c r="S151" s="171">
        <f>SUM(S141:S150)</f>
        <v>1.5</v>
      </c>
      <c r="T151" s="171">
        <f>SUM(T141:T150)</f>
        <v>1.5</v>
      </c>
      <c r="U151" s="171"/>
      <c r="V151" s="693"/>
      <c r="W151" s="171"/>
      <c r="X151" s="693"/>
      <c r="Y151" s="693"/>
      <c r="Z151" s="171">
        <f>SUM(Z141:Z150)</f>
        <v>6589.2560000000003</v>
      </c>
      <c r="AA151" s="171">
        <f>SUM(AA141:AA150)</f>
        <v>402.39999999999964</v>
      </c>
      <c r="AB151" s="171">
        <f>SUM(AB141:AB150)</f>
        <v>31405.635999999999</v>
      </c>
      <c r="AC151" s="171">
        <f>SUM(AC141:AC150)</f>
        <v>28594.364000000001</v>
      </c>
      <c r="AD151" s="171">
        <f>SUM(AD141:AD150)</f>
        <v>60000</v>
      </c>
      <c r="AE151" s="171">
        <f t="shared" ref="AE151:AV151" si="176">SUM(AE141:AE150)</f>
        <v>60000</v>
      </c>
      <c r="AF151" s="171">
        <f t="shared" si="176"/>
        <v>28594.364000000001</v>
      </c>
      <c r="AG151" s="171">
        <f>SUM(AG141:AG150)</f>
        <v>24000</v>
      </c>
      <c r="AH151" s="171">
        <f t="shared" si="176"/>
        <v>-7003.2360000000008</v>
      </c>
      <c r="AI151" s="171">
        <f t="shared" si="176"/>
        <v>9800.5</v>
      </c>
      <c r="AJ151" s="171">
        <f t="shared" si="176"/>
        <v>11598</v>
      </c>
      <c r="AK151" s="171">
        <f t="shared" si="176"/>
        <v>10744.6</v>
      </c>
      <c r="AL151" s="171">
        <f t="shared" si="176"/>
        <v>15773.28</v>
      </c>
      <c r="AM151" s="171">
        <f t="shared" si="176"/>
        <v>944.10000000000036</v>
      </c>
      <c r="AN151" s="171">
        <f t="shared" si="176"/>
        <v>4175.2800000000007</v>
      </c>
      <c r="AO151" s="171">
        <f t="shared" si="176"/>
        <v>944.09999999999991</v>
      </c>
      <c r="AP151" s="171">
        <f t="shared" si="176"/>
        <v>3541.2560000000003</v>
      </c>
      <c r="AQ151" s="171">
        <f t="shared" si="176"/>
        <v>402.39999999999964</v>
      </c>
      <c r="AR151" s="171">
        <f t="shared" si="176"/>
        <v>0</v>
      </c>
      <c r="AS151" s="171">
        <f t="shared" si="176"/>
        <v>0</v>
      </c>
      <c r="AT151" s="171">
        <f t="shared" si="176"/>
        <v>10744.6</v>
      </c>
      <c r="AU151" s="171">
        <f t="shared" si="176"/>
        <v>15773.28</v>
      </c>
      <c r="AV151" s="171">
        <f t="shared" si="176"/>
        <v>0</v>
      </c>
      <c r="AW151" s="171">
        <f>SUM(AW141:AW150)</f>
        <v>26517.879999999997</v>
      </c>
      <c r="AX151" s="171">
        <f>SUM(AX141:AX150)</f>
        <v>0</v>
      </c>
      <c r="AY151" s="619"/>
      <c r="AZ151" s="619"/>
      <c r="BA151" s="619"/>
    </row>
    <row r="152" spans="2:53" s="69" customFormat="1" ht="33">
      <c r="B152" s="660"/>
      <c r="C152" s="208" t="s">
        <v>1508</v>
      </c>
      <c r="D152" s="205"/>
      <c r="E152" s="206"/>
      <c r="F152" s="206"/>
      <c r="G152" s="206"/>
      <c r="H152" s="696"/>
      <c r="I152" s="206"/>
      <c r="J152" s="696"/>
      <c r="K152" s="206"/>
      <c r="L152" s="206"/>
      <c r="M152" s="696"/>
      <c r="N152" s="206"/>
      <c r="O152" s="696"/>
      <c r="P152" s="206"/>
      <c r="Q152" s="206"/>
      <c r="R152" s="206"/>
      <c r="S152" s="206"/>
      <c r="T152" s="206"/>
      <c r="U152" s="206"/>
      <c r="V152" s="697"/>
      <c r="W152" s="206"/>
      <c r="X152" s="697"/>
      <c r="Y152" s="697"/>
      <c r="Z152" s="206"/>
      <c r="AA152" s="206"/>
      <c r="AB152" s="206"/>
      <c r="AC152" s="207"/>
      <c r="AD152" s="207"/>
      <c r="AE152" s="207"/>
      <c r="AF152" s="207"/>
      <c r="AG152" s="207"/>
      <c r="AH152" s="207"/>
      <c r="AI152" s="191"/>
      <c r="AJ152" s="191"/>
      <c r="AK152" s="191"/>
      <c r="AL152" s="191"/>
      <c r="AM152" s="191"/>
      <c r="AN152" s="191"/>
      <c r="AO152" s="193"/>
      <c r="AP152" s="193"/>
      <c r="AQ152" s="193"/>
      <c r="AR152" s="193"/>
      <c r="AS152" s="193"/>
      <c r="AT152" s="197"/>
      <c r="AU152" s="197"/>
      <c r="AV152" s="191"/>
      <c r="AW152" s="236"/>
      <c r="AX152" s="236"/>
      <c r="AY152" s="619"/>
      <c r="AZ152" s="619"/>
      <c r="BA152" s="619"/>
    </row>
    <row r="153" spans="2:53" s="69" customFormat="1" ht="63">
      <c r="B153" s="660">
        <f>B146+1</f>
        <v>102</v>
      </c>
      <c r="C153" s="185" t="s">
        <v>1050</v>
      </c>
      <c r="D153" s="186"/>
      <c r="E153" s="660" t="s">
        <v>1667</v>
      </c>
      <c r="F153" s="660">
        <v>9</v>
      </c>
      <c r="G153" s="187">
        <v>5527</v>
      </c>
      <c r="H153" s="688">
        <v>0.1</v>
      </c>
      <c r="I153" s="187">
        <f>G153*H153</f>
        <v>552.70000000000005</v>
      </c>
      <c r="J153" s="692"/>
      <c r="K153" s="194"/>
      <c r="L153" s="194"/>
      <c r="M153" s="692"/>
      <c r="N153" s="194"/>
      <c r="O153" s="692"/>
      <c r="P153" s="194"/>
      <c r="Q153" s="194"/>
      <c r="R153" s="187">
        <f>G153+I153+K153+L153+N153+P153+Q153</f>
        <v>6079.7</v>
      </c>
      <c r="S153" s="187">
        <v>1</v>
      </c>
      <c r="T153" s="194"/>
      <c r="U153" s="194"/>
      <c r="V153" s="692"/>
      <c r="W153" s="194"/>
      <c r="X153" s="674"/>
      <c r="Y153" s="688"/>
      <c r="Z153" s="187">
        <f>R153*Y153</f>
        <v>0</v>
      </c>
      <c r="AA153" s="187">
        <f>AH153</f>
        <v>1920.3000000000002</v>
      </c>
      <c r="AB153" s="187">
        <f t="shared" ref="AB153:AB162" si="177">(R153+Z153)*S153+AA153</f>
        <v>8000</v>
      </c>
      <c r="AC153" s="689">
        <f t="shared" ref="AC153:AC162" si="178">AF153</f>
        <v>5500</v>
      </c>
      <c r="AD153" s="689">
        <f t="shared" ref="AD153:AD162" si="179">AB153+AC153</f>
        <v>13500</v>
      </c>
      <c r="AE153" s="190">
        <f t="shared" ref="AE153:AE162" si="180">13500*S153</f>
        <v>13500</v>
      </c>
      <c r="AF153" s="190">
        <f t="shared" ref="AF153:AF162" si="181">AE153-AB153</f>
        <v>5500</v>
      </c>
      <c r="AG153" s="689">
        <f t="shared" ref="AG153:AG162" si="182">8000*S153</f>
        <v>8000</v>
      </c>
      <c r="AH153" s="190">
        <f>AG153-(R153+Z153)*S153</f>
        <v>1920.3000000000002</v>
      </c>
      <c r="AI153" s="191">
        <f t="shared" ref="AI153:AI162" si="183">G153*S153</f>
        <v>5527</v>
      </c>
      <c r="AJ153" s="191">
        <f t="shared" ref="AJ153:AJ162" si="184">G153*T153</f>
        <v>0</v>
      </c>
      <c r="AK153" s="191">
        <f t="shared" ref="AK153:AK162" si="185">R153*S153</f>
        <v>6079.7</v>
      </c>
      <c r="AL153" s="191">
        <f>R153*T153</f>
        <v>0</v>
      </c>
      <c r="AM153" s="191">
        <f t="shared" ref="AM153:AN162" si="186">AK153-AI153</f>
        <v>552.69999999999982</v>
      </c>
      <c r="AN153" s="191">
        <f t="shared" si="186"/>
        <v>0</v>
      </c>
      <c r="AO153" s="193">
        <f t="shared" ref="AO153:AO162" si="187">Z153*S153</f>
        <v>0</v>
      </c>
      <c r="AP153" s="193">
        <f t="shared" ref="AP153:AP162" si="188">Z153*T153</f>
        <v>0</v>
      </c>
      <c r="AQ153" s="193">
        <f t="shared" ref="AQ153:AQ162" si="189">AA153</f>
        <v>1920.3000000000002</v>
      </c>
      <c r="AR153" s="193">
        <f t="shared" ref="AR153:AR162" si="190">W153*S153</f>
        <v>0</v>
      </c>
      <c r="AS153" s="193">
        <f t="shared" ref="AS153:AS162" si="191">W153*T153</f>
        <v>0</v>
      </c>
      <c r="AT153" s="197">
        <f t="shared" si="111"/>
        <v>6079.7</v>
      </c>
      <c r="AU153" s="197">
        <f t="shared" si="111"/>
        <v>0</v>
      </c>
      <c r="AV153" s="191"/>
      <c r="AW153" s="236">
        <f>R153*S153</f>
        <v>6079.7</v>
      </c>
      <c r="AX153" s="236"/>
      <c r="AY153" s="619"/>
      <c r="AZ153" s="619"/>
      <c r="BA153" s="619"/>
    </row>
    <row r="154" spans="2:53" s="69" customFormat="1" ht="87.75">
      <c r="B154" s="660">
        <f>B153+1</f>
        <v>103</v>
      </c>
      <c r="C154" s="185" t="s">
        <v>1110</v>
      </c>
      <c r="D154" s="186" t="s">
        <v>250</v>
      </c>
      <c r="E154" s="660" t="s">
        <v>111</v>
      </c>
      <c r="F154" s="660">
        <v>9</v>
      </c>
      <c r="G154" s="187">
        <v>5527</v>
      </c>
      <c r="H154" s="687"/>
      <c r="I154" s="187"/>
      <c r="J154" s="688"/>
      <c r="K154" s="189"/>
      <c r="L154" s="189"/>
      <c r="M154" s="687"/>
      <c r="N154" s="187"/>
      <c r="O154" s="687"/>
      <c r="P154" s="194"/>
      <c r="Q154" s="194"/>
      <c r="R154" s="187">
        <f t="shared" ref="R154:R162" si="192">G154+I154+K154+L154+N154+P154+Q154</f>
        <v>5527</v>
      </c>
      <c r="S154" s="187">
        <v>1</v>
      </c>
      <c r="T154" s="187"/>
      <c r="U154" s="194"/>
      <c r="V154" s="692"/>
      <c r="W154" s="194"/>
      <c r="X154" s="674">
        <v>14</v>
      </c>
      <c r="Y154" s="688">
        <v>0.2</v>
      </c>
      <c r="Z154" s="187">
        <f t="shared" ref="Z154:Z162" si="193">R154*Y154</f>
        <v>1105.4000000000001</v>
      </c>
      <c r="AA154" s="187">
        <f>AH154</f>
        <v>1367.6000000000004</v>
      </c>
      <c r="AB154" s="187">
        <f t="shared" si="177"/>
        <v>8000</v>
      </c>
      <c r="AC154" s="689">
        <f t="shared" si="178"/>
        <v>5500</v>
      </c>
      <c r="AD154" s="689">
        <f t="shared" si="179"/>
        <v>13500</v>
      </c>
      <c r="AE154" s="190">
        <f t="shared" si="180"/>
        <v>13500</v>
      </c>
      <c r="AF154" s="190">
        <f>AE154-AB154</f>
        <v>5500</v>
      </c>
      <c r="AG154" s="689">
        <f t="shared" si="182"/>
        <v>8000</v>
      </c>
      <c r="AH154" s="190">
        <f>AG154-(R154+Z154)*S154</f>
        <v>1367.6000000000004</v>
      </c>
      <c r="AI154" s="191">
        <f t="shared" si="183"/>
        <v>5527</v>
      </c>
      <c r="AJ154" s="191">
        <f t="shared" si="184"/>
        <v>0</v>
      </c>
      <c r="AK154" s="191">
        <f t="shared" si="185"/>
        <v>5527</v>
      </c>
      <c r="AL154" s="191">
        <f t="shared" ref="AL154:AL162" si="194">R154*T154</f>
        <v>0</v>
      </c>
      <c r="AM154" s="191">
        <f t="shared" si="186"/>
        <v>0</v>
      </c>
      <c r="AN154" s="191">
        <f t="shared" si="186"/>
        <v>0</v>
      </c>
      <c r="AO154" s="193">
        <f t="shared" si="187"/>
        <v>1105.4000000000001</v>
      </c>
      <c r="AP154" s="193">
        <f t="shared" si="188"/>
        <v>0</v>
      </c>
      <c r="AQ154" s="193">
        <f t="shared" si="189"/>
        <v>1367.6000000000004</v>
      </c>
      <c r="AR154" s="193">
        <f t="shared" si="190"/>
        <v>0</v>
      </c>
      <c r="AS154" s="193">
        <f t="shared" si="191"/>
        <v>0</v>
      </c>
      <c r="AT154" s="197">
        <f t="shared" si="111"/>
        <v>5527</v>
      </c>
      <c r="AU154" s="197">
        <f t="shared" si="111"/>
        <v>0</v>
      </c>
      <c r="AV154" s="191"/>
      <c r="AW154" s="236">
        <f t="shared" ref="AW154:AW162" si="195">R154*S154</f>
        <v>5527</v>
      </c>
      <c r="AX154" s="236"/>
      <c r="AY154" s="619"/>
      <c r="AZ154" s="619"/>
      <c r="BA154" s="619"/>
    </row>
    <row r="155" spans="2:53" s="69" customFormat="1" ht="63">
      <c r="B155" s="660">
        <f>B154+1</f>
        <v>104</v>
      </c>
      <c r="C155" s="185" t="s">
        <v>1035</v>
      </c>
      <c r="D155" s="186" t="s">
        <v>1051</v>
      </c>
      <c r="E155" s="660" t="s">
        <v>1052</v>
      </c>
      <c r="F155" s="660">
        <v>9</v>
      </c>
      <c r="G155" s="187">
        <v>5527</v>
      </c>
      <c r="H155" s="687"/>
      <c r="I155" s="187"/>
      <c r="J155" s="687"/>
      <c r="K155" s="187"/>
      <c r="L155" s="187"/>
      <c r="M155" s="687"/>
      <c r="N155" s="187"/>
      <c r="O155" s="687"/>
      <c r="P155" s="187"/>
      <c r="Q155" s="187"/>
      <c r="R155" s="187">
        <f t="shared" si="192"/>
        <v>5527</v>
      </c>
      <c r="S155" s="187">
        <v>1</v>
      </c>
      <c r="T155" s="187"/>
      <c r="U155" s="187"/>
      <c r="V155" s="687"/>
      <c r="W155" s="187"/>
      <c r="X155" s="674">
        <v>25</v>
      </c>
      <c r="Y155" s="688">
        <v>0.3</v>
      </c>
      <c r="Z155" s="187">
        <f t="shared" si="193"/>
        <v>1658.1</v>
      </c>
      <c r="AA155" s="187">
        <f>AH155</f>
        <v>814.89999999999964</v>
      </c>
      <c r="AB155" s="187">
        <f t="shared" si="177"/>
        <v>8000</v>
      </c>
      <c r="AC155" s="689">
        <f t="shared" si="178"/>
        <v>5500</v>
      </c>
      <c r="AD155" s="689">
        <f t="shared" si="179"/>
        <v>13500</v>
      </c>
      <c r="AE155" s="190">
        <f t="shared" si="180"/>
        <v>13500</v>
      </c>
      <c r="AF155" s="190">
        <f t="shared" si="181"/>
        <v>5500</v>
      </c>
      <c r="AG155" s="689">
        <f t="shared" si="182"/>
        <v>8000</v>
      </c>
      <c r="AH155" s="190">
        <f t="shared" ref="AH155:AH162" si="196">AG155-(R155+Z155)*S155</f>
        <v>814.89999999999964</v>
      </c>
      <c r="AI155" s="191">
        <f t="shared" si="183"/>
        <v>5527</v>
      </c>
      <c r="AJ155" s="191">
        <f t="shared" si="184"/>
        <v>0</v>
      </c>
      <c r="AK155" s="191">
        <f t="shared" si="185"/>
        <v>5527</v>
      </c>
      <c r="AL155" s="191">
        <f t="shared" si="194"/>
        <v>0</v>
      </c>
      <c r="AM155" s="191">
        <f t="shared" si="186"/>
        <v>0</v>
      </c>
      <c r="AN155" s="191">
        <f t="shared" si="186"/>
        <v>0</v>
      </c>
      <c r="AO155" s="193">
        <f t="shared" si="187"/>
        <v>1658.1</v>
      </c>
      <c r="AP155" s="193">
        <f t="shared" si="188"/>
        <v>0</v>
      </c>
      <c r="AQ155" s="193">
        <f t="shared" si="189"/>
        <v>814.89999999999964</v>
      </c>
      <c r="AR155" s="193">
        <f t="shared" si="190"/>
        <v>0</v>
      </c>
      <c r="AS155" s="193">
        <f t="shared" si="191"/>
        <v>0</v>
      </c>
      <c r="AT155" s="197">
        <f t="shared" si="111"/>
        <v>5527</v>
      </c>
      <c r="AU155" s="197">
        <f t="shared" si="111"/>
        <v>0</v>
      </c>
      <c r="AV155" s="191"/>
      <c r="AW155" s="236">
        <f t="shared" si="195"/>
        <v>5527</v>
      </c>
      <c r="AX155" s="236"/>
      <c r="AY155" s="619"/>
      <c r="AZ155" s="619"/>
      <c r="BA155" s="619"/>
    </row>
    <row r="156" spans="2:53" s="69" customFormat="1" ht="63">
      <c r="B156" s="660">
        <f>B155+1</f>
        <v>105</v>
      </c>
      <c r="C156" s="185" t="s">
        <v>1035</v>
      </c>
      <c r="D156" s="186" t="s">
        <v>251</v>
      </c>
      <c r="E156" s="660" t="s">
        <v>1056</v>
      </c>
      <c r="F156" s="660">
        <v>9</v>
      </c>
      <c r="G156" s="187">
        <v>5527</v>
      </c>
      <c r="H156" s="687"/>
      <c r="I156" s="187"/>
      <c r="J156" s="687"/>
      <c r="K156" s="187"/>
      <c r="L156" s="187"/>
      <c r="M156" s="687"/>
      <c r="N156" s="187"/>
      <c r="O156" s="687"/>
      <c r="P156" s="187"/>
      <c r="Q156" s="194"/>
      <c r="R156" s="187">
        <f>G156+I156+K156+L156+N156+P156+Q156</f>
        <v>5527</v>
      </c>
      <c r="S156" s="187">
        <v>1</v>
      </c>
      <c r="T156" s="187"/>
      <c r="U156" s="194"/>
      <c r="V156" s="692"/>
      <c r="W156" s="194"/>
      <c r="X156" s="674">
        <v>17</v>
      </c>
      <c r="Y156" s="688">
        <v>0.2</v>
      </c>
      <c r="Z156" s="187">
        <f>R156*Y156</f>
        <v>1105.4000000000001</v>
      </c>
      <c r="AA156" s="187">
        <f>AH156</f>
        <v>1367.6000000000004</v>
      </c>
      <c r="AB156" s="187">
        <f t="shared" si="177"/>
        <v>8000</v>
      </c>
      <c r="AC156" s="689">
        <f t="shared" si="178"/>
        <v>5500</v>
      </c>
      <c r="AD156" s="689">
        <f t="shared" si="179"/>
        <v>13500</v>
      </c>
      <c r="AE156" s="190">
        <f t="shared" si="180"/>
        <v>13500</v>
      </c>
      <c r="AF156" s="190">
        <f t="shared" si="181"/>
        <v>5500</v>
      </c>
      <c r="AG156" s="689">
        <f t="shared" si="182"/>
        <v>8000</v>
      </c>
      <c r="AH156" s="190">
        <f t="shared" si="196"/>
        <v>1367.6000000000004</v>
      </c>
      <c r="AI156" s="191">
        <f t="shared" si="183"/>
        <v>5527</v>
      </c>
      <c r="AJ156" s="191">
        <f t="shared" si="184"/>
        <v>0</v>
      </c>
      <c r="AK156" s="191">
        <f t="shared" si="185"/>
        <v>5527</v>
      </c>
      <c r="AL156" s="191">
        <f t="shared" si="194"/>
        <v>0</v>
      </c>
      <c r="AM156" s="191">
        <f t="shared" si="186"/>
        <v>0</v>
      </c>
      <c r="AN156" s="191">
        <f t="shared" si="186"/>
        <v>0</v>
      </c>
      <c r="AO156" s="193">
        <f t="shared" si="187"/>
        <v>1105.4000000000001</v>
      </c>
      <c r="AP156" s="193">
        <f t="shared" si="188"/>
        <v>0</v>
      </c>
      <c r="AQ156" s="193">
        <f t="shared" si="189"/>
        <v>1367.6000000000004</v>
      </c>
      <c r="AR156" s="193">
        <f t="shared" si="190"/>
        <v>0</v>
      </c>
      <c r="AS156" s="193">
        <f t="shared" si="191"/>
        <v>0</v>
      </c>
      <c r="AT156" s="197">
        <f t="shared" si="111"/>
        <v>5527</v>
      </c>
      <c r="AU156" s="197">
        <f t="shared" si="111"/>
        <v>0</v>
      </c>
      <c r="AV156" s="191"/>
      <c r="AW156" s="236">
        <f t="shared" si="195"/>
        <v>5527</v>
      </c>
      <c r="AX156" s="236"/>
      <c r="AY156" s="619"/>
      <c r="AZ156" s="619"/>
      <c r="BA156" s="619"/>
    </row>
    <row r="157" spans="2:53" s="69" customFormat="1" ht="33">
      <c r="B157" s="660"/>
      <c r="C157" s="185"/>
      <c r="D157" s="186"/>
      <c r="E157" s="866"/>
      <c r="F157" s="660"/>
      <c r="G157" s="187"/>
      <c r="H157" s="687"/>
      <c r="I157" s="187"/>
      <c r="J157" s="687"/>
      <c r="K157" s="187"/>
      <c r="L157" s="187"/>
      <c r="M157" s="687"/>
      <c r="N157" s="187"/>
      <c r="O157" s="687"/>
      <c r="P157" s="187"/>
      <c r="Q157" s="187"/>
      <c r="R157" s="187">
        <f t="shared" si="192"/>
        <v>0</v>
      </c>
      <c r="S157" s="187"/>
      <c r="T157" s="187"/>
      <c r="U157" s="187"/>
      <c r="V157" s="687"/>
      <c r="W157" s="187"/>
      <c r="X157" s="674"/>
      <c r="Y157" s="688"/>
      <c r="Z157" s="187">
        <f>R157*Y157</f>
        <v>0</v>
      </c>
      <c r="AA157" s="187"/>
      <c r="AB157" s="187">
        <f t="shared" si="177"/>
        <v>0</v>
      </c>
      <c r="AC157" s="689">
        <f t="shared" si="178"/>
        <v>0</v>
      </c>
      <c r="AD157" s="689">
        <f t="shared" si="179"/>
        <v>0</v>
      </c>
      <c r="AE157" s="190">
        <f t="shared" si="180"/>
        <v>0</v>
      </c>
      <c r="AF157" s="190">
        <f t="shared" si="181"/>
        <v>0</v>
      </c>
      <c r="AG157" s="689">
        <f t="shared" si="182"/>
        <v>0</v>
      </c>
      <c r="AH157" s="190">
        <f t="shared" si="196"/>
        <v>0</v>
      </c>
      <c r="AI157" s="191">
        <f t="shared" si="183"/>
        <v>0</v>
      </c>
      <c r="AJ157" s="191">
        <f t="shared" si="184"/>
        <v>0</v>
      </c>
      <c r="AK157" s="191">
        <f t="shared" si="185"/>
        <v>0</v>
      </c>
      <c r="AL157" s="191">
        <f t="shared" si="194"/>
        <v>0</v>
      </c>
      <c r="AM157" s="191">
        <f t="shared" si="186"/>
        <v>0</v>
      </c>
      <c r="AN157" s="191">
        <f t="shared" si="186"/>
        <v>0</v>
      </c>
      <c r="AO157" s="193">
        <f t="shared" si="187"/>
        <v>0</v>
      </c>
      <c r="AP157" s="193">
        <f t="shared" si="188"/>
        <v>0</v>
      </c>
      <c r="AQ157" s="193">
        <f t="shared" si="189"/>
        <v>0</v>
      </c>
      <c r="AR157" s="193">
        <f t="shared" si="190"/>
        <v>0</v>
      </c>
      <c r="AS157" s="193">
        <f t="shared" si="191"/>
        <v>0</v>
      </c>
      <c r="AT157" s="197">
        <f t="shared" si="111"/>
        <v>0</v>
      </c>
      <c r="AU157" s="197">
        <f t="shared" si="111"/>
        <v>0</v>
      </c>
      <c r="AV157" s="191"/>
      <c r="AW157" s="236">
        <f t="shared" si="195"/>
        <v>0</v>
      </c>
      <c r="AX157" s="236"/>
      <c r="AY157" s="619"/>
      <c r="AZ157" s="619"/>
      <c r="BA157" s="619"/>
    </row>
    <row r="158" spans="2:53" s="69" customFormat="1" ht="33">
      <c r="B158" s="660"/>
      <c r="C158" s="185"/>
      <c r="D158" s="186"/>
      <c r="E158" s="866"/>
      <c r="F158" s="660"/>
      <c r="G158" s="187"/>
      <c r="H158" s="687"/>
      <c r="I158" s="187"/>
      <c r="J158" s="687"/>
      <c r="K158" s="187"/>
      <c r="L158" s="187"/>
      <c r="M158" s="687"/>
      <c r="N158" s="187"/>
      <c r="O158" s="687"/>
      <c r="P158" s="187"/>
      <c r="Q158" s="187"/>
      <c r="R158" s="187">
        <f t="shared" si="192"/>
        <v>0</v>
      </c>
      <c r="S158" s="187"/>
      <c r="T158" s="187"/>
      <c r="U158" s="187"/>
      <c r="V158" s="687"/>
      <c r="W158" s="187"/>
      <c r="X158" s="674"/>
      <c r="Y158" s="688"/>
      <c r="Z158" s="187">
        <f t="shared" si="193"/>
        <v>0</v>
      </c>
      <c r="AA158" s="187"/>
      <c r="AB158" s="187">
        <f t="shared" si="177"/>
        <v>0</v>
      </c>
      <c r="AC158" s="689">
        <f t="shared" si="178"/>
        <v>0</v>
      </c>
      <c r="AD158" s="689">
        <f>AB158+AC158</f>
        <v>0</v>
      </c>
      <c r="AE158" s="190">
        <f t="shared" si="180"/>
        <v>0</v>
      </c>
      <c r="AF158" s="190">
        <f t="shared" si="181"/>
        <v>0</v>
      </c>
      <c r="AG158" s="689">
        <f t="shared" si="182"/>
        <v>0</v>
      </c>
      <c r="AH158" s="190">
        <f t="shared" si="196"/>
        <v>0</v>
      </c>
      <c r="AI158" s="191">
        <f t="shared" si="183"/>
        <v>0</v>
      </c>
      <c r="AJ158" s="191">
        <f t="shared" si="184"/>
        <v>0</v>
      </c>
      <c r="AK158" s="191">
        <f t="shared" si="185"/>
        <v>0</v>
      </c>
      <c r="AL158" s="191">
        <f t="shared" si="194"/>
        <v>0</v>
      </c>
      <c r="AM158" s="191">
        <f t="shared" si="186"/>
        <v>0</v>
      </c>
      <c r="AN158" s="191">
        <f t="shared" si="186"/>
        <v>0</v>
      </c>
      <c r="AO158" s="193">
        <f t="shared" si="187"/>
        <v>0</v>
      </c>
      <c r="AP158" s="193">
        <f t="shared" si="188"/>
        <v>0</v>
      </c>
      <c r="AQ158" s="193">
        <f t="shared" si="189"/>
        <v>0</v>
      </c>
      <c r="AR158" s="193">
        <f t="shared" si="190"/>
        <v>0</v>
      </c>
      <c r="AS158" s="193">
        <f t="shared" si="191"/>
        <v>0</v>
      </c>
      <c r="AT158" s="197">
        <f t="shared" si="111"/>
        <v>0</v>
      </c>
      <c r="AU158" s="197">
        <f t="shared" si="111"/>
        <v>0</v>
      </c>
      <c r="AV158" s="191"/>
      <c r="AW158" s="236">
        <f t="shared" si="195"/>
        <v>0</v>
      </c>
      <c r="AX158" s="236"/>
      <c r="AY158" s="619"/>
      <c r="AZ158" s="619"/>
      <c r="BA158" s="619"/>
    </row>
    <row r="159" spans="2:53" s="69" customFormat="1" ht="63">
      <c r="B159" s="660">
        <f>B156+1</f>
        <v>106</v>
      </c>
      <c r="C159" s="185" t="s">
        <v>1035</v>
      </c>
      <c r="D159" s="186" t="s">
        <v>252</v>
      </c>
      <c r="E159" s="660" t="s">
        <v>1057</v>
      </c>
      <c r="F159" s="660">
        <v>8</v>
      </c>
      <c r="G159" s="187">
        <v>5240</v>
      </c>
      <c r="H159" s="687"/>
      <c r="I159" s="187"/>
      <c r="J159" s="687"/>
      <c r="K159" s="187"/>
      <c r="L159" s="187"/>
      <c r="M159" s="687"/>
      <c r="N159" s="187"/>
      <c r="O159" s="687"/>
      <c r="P159" s="187"/>
      <c r="Q159" s="187"/>
      <c r="R159" s="187">
        <f t="shared" si="192"/>
        <v>5240</v>
      </c>
      <c r="S159" s="187">
        <v>1</v>
      </c>
      <c r="T159" s="187"/>
      <c r="U159" s="187"/>
      <c r="V159" s="687"/>
      <c r="W159" s="187"/>
      <c r="X159" s="674">
        <v>36</v>
      </c>
      <c r="Y159" s="688">
        <v>0.3</v>
      </c>
      <c r="Z159" s="187">
        <f>R159*Y159</f>
        <v>1572</v>
      </c>
      <c r="AA159" s="187">
        <f>AH159</f>
        <v>1188</v>
      </c>
      <c r="AB159" s="187">
        <f t="shared" si="177"/>
        <v>8000</v>
      </c>
      <c r="AC159" s="689">
        <f t="shared" si="178"/>
        <v>5500</v>
      </c>
      <c r="AD159" s="689">
        <f>AB159+AC159</f>
        <v>13500</v>
      </c>
      <c r="AE159" s="190">
        <f t="shared" si="180"/>
        <v>13500</v>
      </c>
      <c r="AF159" s="190">
        <f>AE159-AB159</f>
        <v>5500</v>
      </c>
      <c r="AG159" s="689">
        <f t="shared" si="182"/>
        <v>8000</v>
      </c>
      <c r="AH159" s="190">
        <f t="shared" si="196"/>
        <v>1188</v>
      </c>
      <c r="AI159" s="191">
        <f t="shared" si="183"/>
        <v>5240</v>
      </c>
      <c r="AJ159" s="191">
        <f t="shared" si="184"/>
        <v>0</v>
      </c>
      <c r="AK159" s="191">
        <f t="shared" si="185"/>
        <v>5240</v>
      </c>
      <c r="AL159" s="191">
        <f t="shared" si="194"/>
        <v>0</v>
      </c>
      <c r="AM159" s="191">
        <f t="shared" si="186"/>
        <v>0</v>
      </c>
      <c r="AN159" s="191">
        <f t="shared" si="186"/>
        <v>0</v>
      </c>
      <c r="AO159" s="193">
        <f t="shared" si="187"/>
        <v>1572</v>
      </c>
      <c r="AP159" s="193">
        <f t="shared" si="188"/>
        <v>0</v>
      </c>
      <c r="AQ159" s="193">
        <f t="shared" si="189"/>
        <v>1188</v>
      </c>
      <c r="AR159" s="193">
        <f t="shared" si="190"/>
        <v>0</v>
      </c>
      <c r="AS159" s="193">
        <f t="shared" si="191"/>
        <v>0</v>
      </c>
      <c r="AT159" s="197">
        <f t="shared" si="111"/>
        <v>5240</v>
      </c>
      <c r="AU159" s="197">
        <f t="shared" si="111"/>
        <v>0</v>
      </c>
      <c r="AV159" s="191"/>
      <c r="AW159" s="236">
        <f t="shared" si="195"/>
        <v>5240</v>
      </c>
      <c r="AX159" s="236"/>
      <c r="AY159" s="619"/>
      <c r="AZ159" s="619"/>
      <c r="BA159" s="619"/>
    </row>
    <row r="160" spans="2:53" s="69" customFormat="1" ht="63">
      <c r="B160" s="660">
        <f>1+B159</f>
        <v>107</v>
      </c>
      <c r="C160" s="185" t="s">
        <v>1035</v>
      </c>
      <c r="D160" s="200" t="s">
        <v>253</v>
      </c>
      <c r="E160" s="194" t="s">
        <v>1292</v>
      </c>
      <c r="F160" s="194">
        <v>9</v>
      </c>
      <c r="G160" s="187">
        <v>5527</v>
      </c>
      <c r="H160" s="687"/>
      <c r="I160" s="187"/>
      <c r="J160" s="687"/>
      <c r="K160" s="187"/>
      <c r="L160" s="187"/>
      <c r="M160" s="687"/>
      <c r="N160" s="187"/>
      <c r="O160" s="687"/>
      <c r="P160" s="187"/>
      <c r="Q160" s="187"/>
      <c r="R160" s="187">
        <f t="shared" si="192"/>
        <v>5527</v>
      </c>
      <c r="S160" s="187">
        <v>1</v>
      </c>
      <c r="T160" s="187"/>
      <c r="U160" s="187"/>
      <c r="V160" s="687"/>
      <c r="W160" s="187"/>
      <c r="X160" s="674">
        <v>23</v>
      </c>
      <c r="Y160" s="688">
        <v>0.3</v>
      </c>
      <c r="Z160" s="187">
        <f>R160*Y160</f>
        <v>1658.1</v>
      </c>
      <c r="AA160" s="187">
        <f>AH160</f>
        <v>814.89999999999964</v>
      </c>
      <c r="AB160" s="187">
        <f t="shared" si="177"/>
        <v>8000</v>
      </c>
      <c r="AC160" s="689">
        <f t="shared" si="178"/>
        <v>5500</v>
      </c>
      <c r="AD160" s="689">
        <f t="shared" si="179"/>
        <v>13500</v>
      </c>
      <c r="AE160" s="190">
        <f t="shared" si="180"/>
        <v>13500</v>
      </c>
      <c r="AF160" s="190">
        <f t="shared" si="181"/>
        <v>5500</v>
      </c>
      <c r="AG160" s="689">
        <f t="shared" si="182"/>
        <v>8000</v>
      </c>
      <c r="AH160" s="190">
        <f t="shared" si="196"/>
        <v>814.89999999999964</v>
      </c>
      <c r="AI160" s="191">
        <f t="shared" si="183"/>
        <v>5527</v>
      </c>
      <c r="AJ160" s="191">
        <f t="shared" si="184"/>
        <v>0</v>
      </c>
      <c r="AK160" s="191">
        <f t="shared" si="185"/>
        <v>5527</v>
      </c>
      <c r="AL160" s="191">
        <f t="shared" si="194"/>
        <v>0</v>
      </c>
      <c r="AM160" s="191">
        <f t="shared" si="186"/>
        <v>0</v>
      </c>
      <c r="AN160" s="191">
        <f t="shared" si="186"/>
        <v>0</v>
      </c>
      <c r="AO160" s="193">
        <f t="shared" si="187"/>
        <v>1658.1</v>
      </c>
      <c r="AP160" s="193">
        <f t="shared" si="188"/>
        <v>0</v>
      </c>
      <c r="AQ160" s="193">
        <f t="shared" si="189"/>
        <v>814.89999999999964</v>
      </c>
      <c r="AR160" s="193">
        <f t="shared" si="190"/>
        <v>0</v>
      </c>
      <c r="AS160" s="193">
        <f t="shared" si="191"/>
        <v>0</v>
      </c>
      <c r="AT160" s="197">
        <f t="shared" si="111"/>
        <v>5527</v>
      </c>
      <c r="AU160" s="197">
        <f t="shared" si="111"/>
        <v>0</v>
      </c>
      <c r="AV160" s="191"/>
      <c r="AW160" s="236">
        <f t="shared" si="195"/>
        <v>5527</v>
      </c>
      <c r="AX160" s="236"/>
      <c r="AY160" s="619"/>
      <c r="AZ160" s="619"/>
      <c r="BA160" s="619"/>
    </row>
    <row r="161" spans="2:53" s="69" customFormat="1" ht="33">
      <c r="B161" s="660"/>
      <c r="C161" s="185"/>
      <c r="D161" s="186"/>
      <c r="E161" s="660"/>
      <c r="F161" s="194"/>
      <c r="G161" s="187"/>
      <c r="H161" s="687"/>
      <c r="I161" s="187"/>
      <c r="J161" s="687"/>
      <c r="K161" s="187"/>
      <c r="L161" s="187"/>
      <c r="M161" s="687"/>
      <c r="N161" s="187"/>
      <c r="O161" s="687"/>
      <c r="P161" s="187"/>
      <c r="Q161" s="187"/>
      <c r="R161" s="187">
        <f t="shared" si="192"/>
        <v>0</v>
      </c>
      <c r="S161" s="187"/>
      <c r="T161" s="187"/>
      <c r="U161" s="187"/>
      <c r="V161" s="687"/>
      <c r="W161" s="187"/>
      <c r="X161" s="674"/>
      <c r="Y161" s="688"/>
      <c r="Z161" s="187">
        <f>R161*Y161</f>
        <v>0</v>
      </c>
      <c r="AA161" s="187"/>
      <c r="AB161" s="187">
        <f t="shared" si="177"/>
        <v>0</v>
      </c>
      <c r="AC161" s="689">
        <f t="shared" si="178"/>
        <v>0</v>
      </c>
      <c r="AD161" s="689">
        <f t="shared" si="179"/>
        <v>0</v>
      </c>
      <c r="AE161" s="190">
        <f t="shared" si="180"/>
        <v>0</v>
      </c>
      <c r="AF161" s="190">
        <f t="shared" si="181"/>
        <v>0</v>
      </c>
      <c r="AG161" s="689">
        <f t="shared" si="182"/>
        <v>0</v>
      </c>
      <c r="AH161" s="190">
        <f t="shared" si="196"/>
        <v>0</v>
      </c>
      <c r="AI161" s="191">
        <f t="shared" si="183"/>
        <v>0</v>
      </c>
      <c r="AJ161" s="191">
        <f t="shared" si="184"/>
        <v>0</v>
      </c>
      <c r="AK161" s="191">
        <f t="shared" si="185"/>
        <v>0</v>
      </c>
      <c r="AL161" s="191">
        <f t="shared" si="194"/>
        <v>0</v>
      </c>
      <c r="AM161" s="191">
        <f t="shared" si="186"/>
        <v>0</v>
      </c>
      <c r="AN161" s="191">
        <f t="shared" si="186"/>
        <v>0</v>
      </c>
      <c r="AO161" s="193">
        <f t="shared" si="187"/>
        <v>0</v>
      </c>
      <c r="AP161" s="193">
        <f t="shared" si="188"/>
        <v>0</v>
      </c>
      <c r="AQ161" s="193">
        <f t="shared" si="189"/>
        <v>0</v>
      </c>
      <c r="AR161" s="193">
        <f t="shared" si="190"/>
        <v>0</v>
      </c>
      <c r="AS161" s="193">
        <f t="shared" si="191"/>
        <v>0</v>
      </c>
      <c r="AT161" s="197">
        <f t="shared" si="111"/>
        <v>0</v>
      </c>
      <c r="AU161" s="197">
        <f t="shared" si="111"/>
        <v>0</v>
      </c>
      <c r="AV161" s="191"/>
      <c r="AW161" s="236">
        <f t="shared" si="195"/>
        <v>0</v>
      </c>
      <c r="AX161" s="236"/>
      <c r="AY161" s="619"/>
      <c r="AZ161" s="619"/>
      <c r="BA161" s="619"/>
    </row>
    <row r="162" spans="2:53" s="69" customFormat="1" ht="63">
      <c r="B162" s="660">
        <f>B160+1</f>
        <v>108</v>
      </c>
      <c r="C162" s="185" t="s">
        <v>1035</v>
      </c>
      <c r="D162" s="186" t="s">
        <v>254</v>
      </c>
      <c r="E162" s="660" t="s">
        <v>1059</v>
      </c>
      <c r="F162" s="194">
        <v>9</v>
      </c>
      <c r="G162" s="187">
        <v>5527</v>
      </c>
      <c r="H162" s="687"/>
      <c r="I162" s="187"/>
      <c r="J162" s="687"/>
      <c r="K162" s="187"/>
      <c r="L162" s="187"/>
      <c r="M162" s="687"/>
      <c r="N162" s="187"/>
      <c r="O162" s="687"/>
      <c r="P162" s="187"/>
      <c r="Q162" s="187"/>
      <c r="R162" s="187">
        <f t="shared" si="192"/>
        <v>5527</v>
      </c>
      <c r="S162" s="187">
        <v>1</v>
      </c>
      <c r="T162" s="187"/>
      <c r="U162" s="187"/>
      <c r="V162" s="687"/>
      <c r="W162" s="187"/>
      <c r="X162" s="674">
        <v>30</v>
      </c>
      <c r="Y162" s="688">
        <v>0.3</v>
      </c>
      <c r="Z162" s="187">
        <f t="shared" si="193"/>
        <v>1658.1</v>
      </c>
      <c r="AA162" s="187">
        <f>AH162</f>
        <v>814.89999999999964</v>
      </c>
      <c r="AB162" s="187">
        <f t="shared" si="177"/>
        <v>8000</v>
      </c>
      <c r="AC162" s="689">
        <f t="shared" si="178"/>
        <v>5500</v>
      </c>
      <c r="AD162" s="689">
        <f t="shared" si="179"/>
        <v>13500</v>
      </c>
      <c r="AE162" s="190">
        <f t="shared" si="180"/>
        <v>13500</v>
      </c>
      <c r="AF162" s="190">
        <f t="shared" si="181"/>
        <v>5500</v>
      </c>
      <c r="AG162" s="689">
        <f t="shared" si="182"/>
        <v>8000</v>
      </c>
      <c r="AH162" s="190">
        <f t="shared" si="196"/>
        <v>814.89999999999964</v>
      </c>
      <c r="AI162" s="191">
        <f t="shared" si="183"/>
        <v>5527</v>
      </c>
      <c r="AJ162" s="191">
        <f t="shared" si="184"/>
        <v>0</v>
      </c>
      <c r="AK162" s="191">
        <f t="shared" si="185"/>
        <v>5527</v>
      </c>
      <c r="AL162" s="191">
        <f t="shared" si="194"/>
        <v>0</v>
      </c>
      <c r="AM162" s="191">
        <f t="shared" si="186"/>
        <v>0</v>
      </c>
      <c r="AN162" s="191">
        <f t="shared" si="186"/>
        <v>0</v>
      </c>
      <c r="AO162" s="193">
        <f t="shared" si="187"/>
        <v>1658.1</v>
      </c>
      <c r="AP162" s="193">
        <f t="shared" si="188"/>
        <v>0</v>
      </c>
      <c r="AQ162" s="193">
        <f t="shared" si="189"/>
        <v>814.89999999999964</v>
      </c>
      <c r="AR162" s="193">
        <f t="shared" si="190"/>
        <v>0</v>
      </c>
      <c r="AS162" s="193">
        <f t="shared" si="191"/>
        <v>0</v>
      </c>
      <c r="AT162" s="197">
        <f t="shared" si="111"/>
        <v>5527</v>
      </c>
      <c r="AU162" s="197">
        <f t="shared" si="111"/>
        <v>0</v>
      </c>
      <c r="AV162" s="191"/>
      <c r="AW162" s="236">
        <f t="shared" si="195"/>
        <v>5527</v>
      </c>
      <c r="AX162" s="236"/>
      <c r="AY162" s="619"/>
      <c r="AZ162" s="619"/>
      <c r="BA162" s="619"/>
    </row>
    <row r="163" spans="2:53" s="69" customFormat="1" ht="31.5">
      <c r="B163" s="660"/>
      <c r="C163" s="168" t="s">
        <v>1662</v>
      </c>
      <c r="D163" s="195"/>
      <c r="E163" s="181"/>
      <c r="F163" s="181"/>
      <c r="G163" s="171">
        <f>SUM(G153:G162)</f>
        <v>38402</v>
      </c>
      <c r="H163" s="703"/>
      <c r="I163" s="171">
        <f>SUM(I153:I162)</f>
        <v>552.70000000000005</v>
      </c>
      <c r="J163" s="682"/>
      <c r="K163" s="181"/>
      <c r="L163" s="181"/>
      <c r="M163" s="682"/>
      <c r="N163" s="181"/>
      <c r="O163" s="682"/>
      <c r="P163" s="172"/>
      <c r="Q163" s="181"/>
      <c r="R163" s="171">
        <f>SUM(R153:R162)</f>
        <v>38954.699999999997</v>
      </c>
      <c r="S163" s="171">
        <f>SUM(S153:S162)</f>
        <v>7</v>
      </c>
      <c r="T163" s="171">
        <f>SUM(T153:T162)</f>
        <v>0</v>
      </c>
      <c r="U163" s="171"/>
      <c r="V163" s="693"/>
      <c r="W163" s="171"/>
      <c r="X163" s="693"/>
      <c r="Y163" s="693"/>
      <c r="Z163" s="171">
        <f>SUM(Z153:Z162)</f>
        <v>8757.1</v>
      </c>
      <c r="AA163" s="171">
        <f>SUM(AA153:AA162)</f>
        <v>8288.2000000000007</v>
      </c>
      <c r="AB163" s="171">
        <f>SUM(AB153:AB162)</f>
        <v>56000</v>
      </c>
      <c r="AC163" s="171">
        <f>SUM(AC153:AC162)</f>
        <v>38500</v>
      </c>
      <c r="AD163" s="171">
        <f>SUM(AD153:AD162)</f>
        <v>94500</v>
      </c>
      <c r="AE163" s="171">
        <f t="shared" ref="AE163:AV163" si="197">SUM(AE153:AE162)</f>
        <v>94500</v>
      </c>
      <c r="AF163" s="171">
        <f t="shared" si="197"/>
        <v>38500</v>
      </c>
      <c r="AG163" s="171">
        <f>SUM(AG153:AG162)</f>
        <v>56000</v>
      </c>
      <c r="AH163" s="171">
        <f t="shared" si="197"/>
        <v>8288.2000000000007</v>
      </c>
      <c r="AI163" s="171">
        <f t="shared" si="197"/>
        <v>38402</v>
      </c>
      <c r="AJ163" s="171">
        <f t="shared" si="197"/>
        <v>0</v>
      </c>
      <c r="AK163" s="171">
        <f t="shared" si="197"/>
        <v>38954.699999999997</v>
      </c>
      <c r="AL163" s="171">
        <f t="shared" si="197"/>
        <v>0</v>
      </c>
      <c r="AM163" s="171">
        <f t="shared" si="197"/>
        <v>552.69999999999982</v>
      </c>
      <c r="AN163" s="171">
        <f t="shared" si="197"/>
        <v>0</v>
      </c>
      <c r="AO163" s="171">
        <f t="shared" si="197"/>
        <v>8757.1</v>
      </c>
      <c r="AP163" s="171">
        <f t="shared" si="197"/>
        <v>0</v>
      </c>
      <c r="AQ163" s="171">
        <f t="shared" si="197"/>
        <v>8288.2000000000007</v>
      </c>
      <c r="AR163" s="171">
        <f t="shared" si="197"/>
        <v>0</v>
      </c>
      <c r="AS163" s="171">
        <f t="shared" si="197"/>
        <v>0</v>
      </c>
      <c r="AT163" s="171">
        <f t="shared" si="197"/>
        <v>38954.699999999997</v>
      </c>
      <c r="AU163" s="171">
        <f t="shared" si="197"/>
        <v>0</v>
      </c>
      <c r="AV163" s="171">
        <f t="shared" si="197"/>
        <v>0</v>
      </c>
      <c r="AW163" s="171">
        <f>SUM(AW153:AW162)</f>
        <v>38954.699999999997</v>
      </c>
      <c r="AX163" s="171">
        <f>SUM(AX153:AX162)</f>
        <v>0</v>
      </c>
      <c r="AY163" s="619"/>
      <c r="AZ163" s="619"/>
      <c r="BA163" s="619"/>
    </row>
    <row r="164" spans="2:53" s="69" customFormat="1" ht="33">
      <c r="B164" s="660"/>
      <c r="C164" s="208" t="s">
        <v>1774</v>
      </c>
      <c r="D164" s="195"/>
      <c r="E164" s="181"/>
      <c r="F164" s="181"/>
      <c r="G164" s="171"/>
      <c r="H164" s="703"/>
      <c r="I164" s="171"/>
      <c r="J164" s="682"/>
      <c r="K164" s="181"/>
      <c r="L164" s="181"/>
      <c r="M164" s="682"/>
      <c r="N164" s="181"/>
      <c r="O164" s="682"/>
      <c r="P164" s="172"/>
      <c r="Q164" s="181"/>
      <c r="R164" s="171"/>
      <c r="S164" s="171"/>
      <c r="T164" s="171"/>
      <c r="U164" s="171"/>
      <c r="V164" s="693"/>
      <c r="W164" s="171"/>
      <c r="X164" s="693"/>
      <c r="Y164" s="693"/>
      <c r="Z164" s="171"/>
      <c r="AA164" s="171"/>
      <c r="AB164" s="171"/>
      <c r="AC164" s="196"/>
      <c r="AD164" s="196"/>
      <c r="AE164" s="196"/>
      <c r="AF164" s="196"/>
      <c r="AG164" s="196"/>
      <c r="AH164" s="196"/>
      <c r="AI164" s="191"/>
      <c r="AJ164" s="191"/>
      <c r="AK164" s="191"/>
      <c r="AL164" s="191"/>
      <c r="AM164" s="191"/>
      <c r="AN164" s="191"/>
      <c r="AO164" s="193"/>
      <c r="AP164" s="193"/>
      <c r="AQ164" s="193"/>
      <c r="AR164" s="193"/>
      <c r="AS164" s="193"/>
      <c r="AT164" s="197"/>
      <c r="AU164" s="197"/>
      <c r="AV164" s="191"/>
      <c r="AW164" s="236"/>
      <c r="AX164" s="236"/>
      <c r="AY164" s="619"/>
      <c r="AZ164" s="619"/>
      <c r="BA164" s="619"/>
    </row>
    <row r="165" spans="2:53" s="69" customFormat="1" ht="94.5">
      <c r="B165" s="660">
        <f>B162+1</f>
        <v>109</v>
      </c>
      <c r="C165" s="185" t="s">
        <v>1138</v>
      </c>
      <c r="D165" s="186"/>
      <c r="E165" s="660" t="s">
        <v>1139</v>
      </c>
      <c r="F165" s="660">
        <v>3</v>
      </c>
      <c r="G165" s="187">
        <v>3770</v>
      </c>
      <c r="H165" s="687"/>
      <c r="I165" s="187"/>
      <c r="J165" s="692"/>
      <c r="K165" s="194"/>
      <c r="L165" s="194"/>
      <c r="M165" s="692"/>
      <c r="N165" s="194"/>
      <c r="O165" s="692"/>
      <c r="P165" s="194"/>
      <c r="Q165" s="194"/>
      <c r="R165" s="187">
        <f>G165+I165+K165+L165+N165+P165+Q165</f>
        <v>3770</v>
      </c>
      <c r="S165" s="187">
        <v>1</v>
      </c>
      <c r="T165" s="194"/>
      <c r="U165" s="194"/>
      <c r="V165" s="688">
        <v>0.1</v>
      </c>
      <c r="W165" s="187">
        <f>R165*V165</f>
        <v>377</v>
      </c>
      <c r="X165" s="674"/>
      <c r="Y165" s="688"/>
      <c r="Z165" s="187"/>
      <c r="AA165" s="187">
        <f>AH165</f>
        <v>4230</v>
      </c>
      <c r="AB165" s="187">
        <f>(R165+Z165+U165+W165)*S165+AA165</f>
        <v>8377</v>
      </c>
      <c r="AC165" s="689">
        <f>AF165</f>
        <v>0</v>
      </c>
      <c r="AD165" s="689">
        <f>AB165+AC165</f>
        <v>8377</v>
      </c>
      <c r="AE165" s="190">
        <f>AB165</f>
        <v>8377</v>
      </c>
      <c r="AF165" s="190">
        <f>AE165-AB165</f>
        <v>0</v>
      </c>
      <c r="AG165" s="689">
        <f>8000*S165</f>
        <v>8000</v>
      </c>
      <c r="AH165" s="190">
        <f>AG165-(R165*S165)</f>
        <v>4230</v>
      </c>
      <c r="AI165" s="191">
        <f>G165*S165</f>
        <v>3770</v>
      </c>
      <c r="AJ165" s="191">
        <f>G165*T165</f>
        <v>0</v>
      </c>
      <c r="AK165" s="191">
        <f>R165*S165</f>
        <v>3770</v>
      </c>
      <c r="AL165" s="191">
        <f>R165*T165</f>
        <v>0</v>
      </c>
      <c r="AM165" s="191">
        <f t="shared" ref="AM165:AN169" si="198">AK165-AI165</f>
        <v>0</v>
      </c>
      <c r="AN165" s="191">
        <f t="shared" si="198"/>
        <v>0</v>
      </c>
      <c r="AO165" s="193">
        <f>Z165*S165</f>
        <v>0</v>
      </c>
      <c r="AP165" s="193">
        <f>Z165*T165</f>
        <v>0</v>
      </c>
      <c r="AQ165" s="193">
        <f>AA165</f>
        <v>4230</v>
      </c>
      <c r="AR165" s="193">
        <f>W165*S165</f>
        <v>377</v>
      </c>
      <c r="AS165" s="193">
        <f>W165*T165</f>
        <v>0</v>
      </c>
      <c r="AT165" s="197">
        <f t="shared" ref="AT165:AU230" si="199">AK165</f>
        <v>3770</v>
      </c>
      <c r="AU165" s="197">
        <f t="shared" si="199"/>
        <v>0</v>
      </c>
      <c r="AV165" s="191"/>
      <c r="AW165" s="236">
        <f>R165*S165</f>
        <v>3770</v>
      </c>
      <c r="AX165" s="236"/>
      <c r="AY165" s="619"/>
      <c r="AZ165" s="619"/>
      <c r="BA165" s="619"/>
    </row>
    <row r="166" spans="2:53" s="69" customFormat="1" ht="94.5">
      <c r="B166" s="660">
        <f>B165+1</f>
        <v>110</v>
      </c>
      <c r="C166" s="185" t="s">
        <v>1138</v>
      </c>
      <c r="D166" s="186"/>
      <c r="E166" s="660" t="s">
        <v>255</v>
      </c>
      <c r="F166" s="660">
        <v>3</v>
      </c>
      <c r="G166" s="187">
        <v>3770</v>
      </c>
      <c r="H166" s="687"/>
      <c r="I166" s="187"/>
      <c r="J166" s="687"/>
      <c r="K166" s="187"/>
      <c r="L166" s="187"/>
      <c r="M166" s="687"/>
      <c r="N166" s="187"/>
      <c r="O166" s="687"/>
      <c r="P166" s="187"/>
      <c r="Q166" s="187"/>
      <c r="R166" s="187">
        <f>G166+I166+K166+L166+N166+P166+Q166</f>
        <v>3770</v>
      </c>
      <c r="S166" s="187">
        <v>1</v>
      </c>
      <c r="T166" s="187"/>
      <c r="U166" s="187"/>
      <c r="V166" s="688">
        <v>0.1</v>
      </c>
      <c r="W166" s="187">
        <f>R166*V166</f>
        <v>377</v>
      </c>
      <c r="X166" s="674"/>
      <c r="Y166" s="688"/>
      <c r="Z166" s="187"/>
      <c r="AA166" s="187">
        <f>AH166</f>
        <v>4230</v>
      </c>
      <c r="AB166" s="187">
        <f>(R166+Z166+U166+W166)*S166+AA166</f>
        <v>8377</v>
      </c>
      <c r="AC166" s="689">
        <f>AF166</f>
        <v>0</v>
      </c>
      <c r="AD166" s="689">
        <f>AB166+AC166</f>
        <v>8377</v>
      </c>
      <c r="AE166" s="190">
        <f>AB166</f>
        <v>8377</v>
      </c>
      <c r="AF166" s="190">
        <f>AE166-AB166</f>
        <v>0</v>
      </c>
      <c r="AG166" s="689">
        <f>8000*S166</f>
        <v>8000</v>
      </c>
      <c r="AH166" s="190">
        <f>AG166-(R166*S166)</f>
        <v>4230</v>
      </c>
      <c r="AI166" s="191">
        <f>G166*S166</f>
        <v>3770</v>
      </c>
      <c r="AJ166" s="191">
        <f>G166*T166</f>
        <v>0</v>
      </c>
      <c r="AK166" s="191">
        <f>R166*S166</f>
        <v>3770</v>
      </c>
      <c r="AL166" s="191">
        <f>R166*T166</f>
        <v>0</v>
      </c>
      <c r="AM166" s="191">
        <f t="shared" si="198"/>
        <v>0</v>
      </c>
      <c r="AN166" s="191">
        <f t="shared" si="198"/>
        <v>0</v>
      </c>
      <c r="AO166" s="193">
        <f>Z166*S166</f>
        <v>0</v>
      </c>
      <c r="AP166" s="193">
        <f>Z166*T166</f>
        <v>0</v>
      </c>
      <c r="AQ166" s="193">
        <f>AA166</f>
        <v>4230</v>
      </c>
      <c r="AR166" s="193">
        <f>W166*S166</f>
        <v>377</v>
      </c>
      <c r="AS166" s="193">
        <f>W166*T166</f>
        <v>0</v>
      </c>
      <c r="AT166" s="197">
        <f t="shared" si="199"/>
        <v>3770</v>
      </c>
      <c r="AU166" s="197">
        <f t="shared" si="199"/>
        <v>0</v>
      </c>
      <c r="AV166" s="191"/>
      <c r="AW166" s="236">
        <f>R166*S166</f>
        <v>3770</v>
      </c>
      <c r="AX166" s="236"/>
      <c r="AY166" s="619"/>
      <c r="AZ166" s="619"/>
      <c r="BA166" s="619"/>
    </row>
    <row r="167" spans="2:53" s="69" customFormat="1" ht="94.5">
      <c r="B167" s="660">
        <f>B166+1</f>
        <v>111</v>
      </c>
      <c r="C167" s="185" t="s">
        <v>1138</v>
      </c>
      <c r="D167" s="186"/>
      <c r="E167" s="660" t="s">
        <v>1140</v>
      </c>
      <c r="F167" s="660">
        <v>3</v>
      </c>
      <c r="G167" s="187">
        <v>3770</v>
      </c>
      <c r="H167" s="687"/>
      <c r="I167" s="187"/>
      <c r="J167" s="687"/>
      <c r="K167" s="187"/>
      <c r="L167" s="187"/>
      <c r="M167" s="687"/>
      <c r="N167" s="187"/>
      <c r="O167" s="687"/>
      <c r="P167" s="187"/>
      <c r="Q167" s="187"/>
      <c r="R167" s="187">
        <f>G167+I167+K167+L167+N167+P167+Q167</f>
        <v>3770</v>
      </c>
      <c r="S167" s="187">
        <v>1</v>
      </c>
      <c r="T167" s="187"/>
      <c r="U167" s="187"/>
      <c r="V167" s="688">
        <v>0.1</v>
      </c>
      <c r="W167" s="187">
        <f>R167*V167</f>
        <v>377</v>
      </c>
      <c r="X167" s="674"/>
      <c r="Y167" s="688"/>
      <c r="Z167" s="187"/>
      <c r="AA167" s="187">
        <f>AH167</f>
        <v>4230</v>
      </c>
      <c r="AB167" s="187">
        <f>(R167+Z167+U167+W167)*S167+AA167</f>
        <v>8377</v>
      </c>
      <c r="AC167" s="689">
        <f>AF167</f>
        <v>0</v>
      </c>
      <c r="AD167" s="689">
        <f>AB167+AC167</f>
        <v>8377</v>
      </c>
      <c r="AE167" s="190">
        <f>AB167</f>
        <v>8377</v>
      </c>
      <c r="AF167" s="190">
        <f>AE167-AB167</f>
        <v>0</v>
      </c>
      <c r="AG167" s="689">
        <f>8000*S167</f>
        <v>8000</v>
      </c>
      <c r="AH167" s="190">
        <f>AG167-(R167*S167)</f>
        <v>4230</v>
      </c>
      <c r="AI167" s="191">
        <f>G167*S167</f>
        <v>3770</v>
      </c>
      <c r="AJ167" s="191">
        <f>G167*T167</f>
        <v>0</v>
      </c>
      <c r="AK167" s="191">
        <f>R167*S167</f>
        <v>3770</v>
      </c>
      <c r="AL167" s="191">
        <f>R167*T167</f>
        <v>0</v>
      </c>
      <c r="AM167" s="191">
        <f t="shared" si="198"/>
        <v>0</v>
      </c>
      <c r="AN167" s="191">
        <f t="shared" si="198"/>
        <v>0</v>
      </c>
      <c r="AO167" s="193">
        <f>Z167*S167</f>
        <v>0</v>
      </c>
      <c r="AP167" s="193">
        <f>Z167*T167</f>
        <v>0</v>
      </c>
      <c r="AQ167" s="193">
        <f>AA167</f>
        <v>4230</v>
      </c>
      <c r="AR167" s="193">
        <f>W167*S167</f>
        <v>377</v>
      </c>
      <c r="AS167" s="193">
        <f>W167*T167</f>
        <v>0</v>
      </c>
      <c r="AT167" s="197">
        <f t="shared" si="199"/>
        <v>3770</v>
      </c>
      <c r="AU167" s="197">
        <f t="shared" si="199"/>
        <v>0</v>
      </c>
      <c r="AV167" s="191"/>
      <c r="AW167" s="236">
        <f>R167*S167</f>
        <v>3770</v>
      </c>
      <c r="AX167" s="236"/>
      <c r="AY167" s="619"/>
      <c r="AZ167" s="619"/>
      <c r="BA167" s="619"/>
    </row>
    <row r="168" spans="2:53" s="69" customFormat="1" ht="94.5">
      <c r="B168" s="660">
        <f>1+B167</f>
        <v>112</v>
      </c>
      <c r="C168" s="185" t="s">
        <v>1138</v>
      </c>
      <c r="D168" s="186"/>
      <c r="E168" s="660" t="s">
        <v>256</v>
      </c>
      <c r="F168" s="660">
        <v>3</v>
      </c>
      <c r="G168" s="187">
        <v>3770</v>
      </c>
      <c r="H168" s="687"/>
      <c r="I168" s="187"/>
      <c r="J168" s="687"/>
      <c r="K168" s="187"/>
      <c r="L168" s="187"/>
      <c r="M168" s="687"/>
      <c r="N168" s="187"/>
      <c r="O168" s="687"/>
      <c r="P168" s="187"/>
      <c r="Q168" s="187"/>
      <c r="R168" s="187">
        <f>G168+I168+K168+L168+N168+P168+Q168</f>
        <v>3770</v>
      </c>
      <c r="S168" s="187">
        <v>1</v>
      </c>
      <c r="T168" s="187"/>
      <c r="U168" s="187"/>
      <c r="V168" s="688">
        <v>0.1</v>
      </c>
      <c r="W168" s="187">
        <f>R168*V168</f>
        <v>377</v>
      </c>
      <c r="X168" s="674"/>
      <c r="Y168" s="688"/>
      <c r="Z168" s="187"/>
      <c r="AA168" s="187">
        <f>AH168</f>
        <v>4230</v>
      </c>
      <c r="AB168" s="187">
        <f>(R168+Z168+U168+W168)*S168+AA168</f>
        <v>8377</v>
      </c>
      <c r="AC168" s="689">
        <f>AF168</f>
        <v>0</v>
      </c>
      <c r="AD168" s="689">
        <f>AB168+AC168</f>
        <v>8377</v>
      </c>
      <c r="AE168" s="190">
        <f>AB168</f>
        <v>8377</v>
      </c>
      <c r="AF168" s="190">
        <f>AE168-AB168</f>
        <v>0</v>
      </c>
      <c r="AG168" s="689">
        <f>8000*S168</f>
        <v>8000</v>
      </c>
      <c r="AH168" s="190">
        <f>AG168-(R168*S168)</f>
        <v>4230</v>
      </c>
      <c r="AI168" s="191">
        <f>G168*S168</f>
        <v>3770</v>
      </c>
      <c r="AJ168" s="191">
        <f>G168*T168</f>
        <v>0</v>
      </c>
      <c r="AK168" s="191">
        <f>R168*S168</f>
        <v>3770</v>
      </c>
      <c r="AL168" s="191">
        <f>R168*T168</f>
        <v>0</v>
      </c>
      <c r="AM168" s="191">
        <f t="shared" si="198"/>
        <v>0</v>
      </c>
      <c r="AN168" s="191">
        <f t="shared" si="198"/>
        <v>0</v>
      </c>
      <c r="AO168" s="193">
        <f>Z168*S168</f>
        <v>0</v>
      </c>
      <c r="AP168" s="193">
        <f>Z168*T168</f>
        <v>0</v>
      </c>
      <c r="AQ168" s="193">
        <f>AA168</f>
        <v>4230</v>
      </c>
      <c r="AR168" s="193">
        <f>W168*S168</f>
        <v>377</v>
      </c>
      <c r="AS168" s="193">
        <f>W168*T168</f>
        <v>0</v>
      </c>
      <c r="AT168" s="197">
        <f t="shared" si="199"/>
        <v>3770</v>
      </c>
      <c r="AU168" s="197">
        <f t="shared" si="199"/>
        <v>0</v>
      </c>
      <c r="AV168" s="191"/>
      <c r="AW168" s="236">
        <f>R168*S168</f>
        <v>3770</v>
      </c>
      <c r="AX168" s="236"/>
      <c r="AY168" s="619"/>
      <c r="AZ168" s="619"/>
      <c r="BA168" s="619"/>
    </row>
    <row r="169" spans="2:53" s="69" customFormat="1" ht="94.5">
      <c r="B169" s="660">
        <f>1+B168</f>
        <v>113</v>
      </c>
      <c r="C169" s="185" t="s">
        <v>1138</v>
      </c>
      <c r="D169" s="186"/>
      <c r="E169" s="660" t="s">
        <v>1141</v>
      </c>
      <c r="F169" s="660">
        <v>3</v>
      </c>
      <c r="G169" s="187">
        <v>3770</v>
      </c>
      <c r="H169" s="687"/>
      <c r="I169" s="187"/>
      <c r="J169" s="687"/>
      <c r="K169" s="187"/>
      <c r="L169" s="187"/>
      <c r="M169" s="687"/>
      <c r="N169" s="187"/>
      <c r="O169" s="687"/>
      <c r="P169" s="194"/>
      <c r="Q169" s="194"/>
      <c r="R169" s="187">
        <f>G169+I169+K169+L169+N169+P169+Q169</f>
        <v>3770</v>
      </c>
      <c r="S169" s="187">
        <v>1</v>
      </c>
      <c r="T169" s="187"/>
      <c r="U169" s="187"/>
      <c r="V169" s="688">
        <v>0.1</v>
      </c>
      <c r="W169" s="187">
        <f>R169*V169</f>
        <v>377</v>
      </c>
      <c r="X169" s="674"/>
      <c r="Y169" s="688"/>
      <c r="Z169" s="187"/>
      <c r="AA169" s="187">
        <f>AH169</f>
        <v>4230</v>
      </c>
      <c r="AB169" s="187">
        <f>(R169+Z169+U169+W169)*S169+AA169</f>
        <v>8377</v>
      </c>
      <c r="AC169" s="689">
        <f>AF169</f>
        <v>0</v>
      </c>
      <c r="AD169" s="689">
        <f>AB169+AC169</f>
        <v>8377</v>
      </c>
      <c r="AE169" s="190">
        <f>AB169</f>
        <v>8377</v>
      </c>
      <c r="AF169" s="190">
        <f>AE169-AB169</f>
        <v>0</v>
      </c>
      <c r="AG169" s="689">
        <f>8000*S169</f>
        <v>8000</v>
      </c>
      <c r="AH169" s="190">
        <f>AG169-(R169*S169)</f>
        <v>4230</v>
      </c>
      <c r="AI169" s="191">
        <f>G169*S169</f>
        <v>3770</v>
      </c>
      <c r="AJ169" s="191">
        <f>G169*T169</f>
        <v>0</v>
      </c>
      <c r="AK169" s="191">
        <f>R169*S169</f>
        <v>3770</v>
      </c>
      <c r="AL169" s="191">
        <f>R169*T169</f>
        <v>0</v>
      </c>
      <c r="AM169" s="191">
        <f t="shared" si="198"/>
        <v>0</v>
      </c>
      <c r="AN169" s="191">
        <f t="shared" si="198"/>
        <v>0</v>
      </c>
      <c r="AO169" s="193">
        <f>Z169*S169</f>
        <v>0</v>
      </c>
      <c r="AP169" s="193">
        <f>Z169*T169</f>
        <v>0</v>
      </c>
      <c r="AQ169" s="193">
        <f>AA169</f>
        <v>4230</v>
      </c>
      <c r="AR169" s="193">
        <f>W169*S169</f>
        <v>377</v>
      </c>
      <c r="AS169" s="193">
        <f>W169*T169</f>
        <v>0</v>
      </c>
      <c r="AT169" s="197">
        <f t="shared" si="199"/>
        <v>3770</v>
      </c>
      <c r="AU169" s="197">
        <f t="shared" si="199"/>
        <v>0</v>
      </c>
      <c r="AV169" s="191"/>
      <c r="AW169" s="236">
        <f>R169*S169</f>
        <v>3770</v>
      </c>
      <c r="AX169" s="236"/>
      <c r="AY169" s="619"/>
      <c r="AZ169" s="619"/>
      <c r="BA169" s="619"/>
    </row>
    <row r="170" spans="2:53" s="69" customFormat="1" ht="31.5">
      <c r="B170" s="660"/>
      <c r="C170" s="168" t="s">
        <v>1662</v>
      </c>
      <c r="D170" s="195"/>
      <c r="E170" s="181"/>
      <c r="F170" s="181"/>
      <c r="G170" s="172">
        <f>SUM(G165:G169)</f>
        <v>18850</v>
      </c>
      <c r="H170" s="698"/>
      <c r="I170" s="172"/>
      <c r="J170" s="698"/>
      <c r="K170" s="172"/>
      <c r="L170" s="172"/>
      <c r="M170" s="698"/>
      <c r="N170" s="172"/>
      <c r="O170" s="698"/>
      <c r="P170" s="172"/>
      <c r="Q170" s="172"/>
      <c r="R170" s="172">
        <f>SUM(R165:R169)</f>
        <v>18850</v>
      </c>
      <c r="S170" s="171">
        <f>SUM(S165:S169)</f>
        <v>5</v>
      </c>
      <c r="T170" s="171">
        <f>SUM(T165:T169)</f>
        <v>0</v>
      </c>
      <c r="U170" s="172"/>
      <c r="V170" s="699"/>
      <c r="W170" s="172">
        <f>SUM(W165:W169)</f>
        <v>1885</v>
      </c>
      <c r="X170" s="699"/>
      <c r="Y170" s="699"/>
      <c r="Z170" s="172"/>
      <c r="AA170" s="171">
        <f>SUM(AA165:AA169)</f>
        <v>21150</v>
      </c>
      <c r="AB170" s="171">
        <f>SUM(AB165:AB169)</f>
        <v>41885</v>
      </c>
      <c r="AC170" s="171">
        <f>SUM(AC165:AC169)</f>
        <v>0</v>
      </c>
      <c r="AD170" s="171">
        <f>SUM(AD165:AD169)</f>
        <v>41885</v>
      </c>
      <c r="AE170" s="171">
        <f t="shared" ref="AE170:AV170" si="200">SUM(AE165:AE169)</f>
        <v>41885</v>
      </c>
      <c r="AF170" s="171">
        <f t="shared" si="200"/>
        <v>0</v>
      </c>
      <c r="AG170" s="171">
        <f>SUM(AG165:AG169)</f>
        <v>40000</v>
      </c>
      <c r="AH170" s="171">
        <f t="shared" si="200"/>
        <v>21150</v>
      </c>
      <c r="AI170" s="171">
        <f t="shared" si="200"/>
        <v>18850</v>
      </c>
      <c r="AJ170" s="171">
        <f t="shared" si="200"/>
        <v>0</v>
      </c>
      <c r="AK170" s="171">
        <f t="shared" si="200"/>
        <v>18850</v>
      </c>
      <c r="AL170" s="171">
        <f t="shared" si="200"/>
        <v>0</v>
      </c>
      <c r="AM170" s="171">
        <f t="shared" si="200"/>
        <v>0</v>
      </c>
      <c r="AN170" s="171">
        <f t="shared" si="200"/>
        <v>0</v>
      </c>
      <c r="AO170" s="171">
        <f t="shared" si="200"/>
        <v>0</v>
      </c>
      <c r="AP170" s="171">
        <f t="shared" si="200"/>
        <v>0</v>
      </c>
      <c r="AQ170" s="171">
        <f t="shared" si="200"/>
        <v>21150</v>
      </c>
      <c r="AR170" s="171">
        <f t="shared" si="200"/>
        <v>1885</v>
      </c>
      <c r="AS170" s="171">
        <f t="shared" si="200"/>
        <v>0</v>
      </c>
      <c r="AT170" s="171">
        <f t="shared" si="200"/>
        <v>18850</v>
      </c>
      <c r="AU170" s="171">
        <f t="shared" si="200"/>
        <v>0</v>
      </c>
      <c r="AV170" s="171">
        <f t="shared" si="200"/>
        <v>0</v>
      </c>
      <c r="AW170" s="171">
        <f>SUM(AW165:AW169)</f>
        <v>18850</v>
      </c>
      <c r="AX170" s="171">
        <f>SUM(AX165:AX169)</f>
        <v>0</v>
      </c>
      <c r="AY170" s="619"/>
      <c r="AZ170" s="619"/>
      <c r="BA170" s="619"/>
    </row>
    <row r="171" spans="2:53" s="69" customFormat="1" ht="31.5">
      <c r="B171" s="660"/>
      <c r="C171" s="168" t="s">
        <v>1223</v>
      </c>
      <c r="D171" s="195"/>
      <c r="E171" s="181"/>
      <c r="F171" s="181"/>
      <c r="G171" s="172">
        <f>G151+G163+G170</f>
        <v>100768</v>
      </c>
      <c r="H171" s="699"/>
      <c r="I171" s="172">
        <f t="shared" ref="I171:AV171" si="201">I151+I163+I170</f>
        <v>1325.9</v>
      </c>
      <c r="J171" s="699"/>
      <c r="K171" s="172">
        <f t="shared" si="201"/>
        <v>4660.880000000001</v>
      </c>
      <c r="L171" s="172"/>
      <c r="M171" s="699"/>
      <c r="N171" s="172"/>
      <c r="O171" s="699"/>
      <c r="P171" s="172">
        <f t="shared" si="201"/>
        <v>0</v>
      </c>
      <c r="Q171" s="172"/>
      <c r="R171" s="172">
        <f t="shared" si="201"/>
        <v>106754.78</v>
      </c>
      <c r="S171" s="171">
        <f>S151+S163+S170</f>
        <v>13.5</v>
      </c>
      <c r="T171" s="171">
        <f t="shared" si="201"/>
        <v>1.5</v>
      </c>
      <c r="U171" s="172"/>
      <c r="V171" s="699"/>
      <c r="W171" s="172">
        <f t="shared" si="201"/>
        <v>1885</v>
      </c>
      <c r="X171" s="699"/>
      <c r="Y171" s="699"/>
      <c r="Z171" s="172">
        <f>Z151+Z163+Z170</f>
        <v>15346.356</v>
      </c>
      <c r="AA171" s="171">
        <f>AA151+AA163+AA170</f>
        <v>29840.6</v>
      </c>
      <c r="AB171" s="171">
        <f t="shared" si="201"/>
        <v>129290.636</v>
      </c>
      <c r="AC171" s="171">
        <f t="shared" si="201"/>
        <v>67094.364000000001</v>
      </c>
      <c r="AD171" s="171">
        <f>AD151+AD163+AD170</f>
        <v>196385</v>
      </c>
      <c r="AE171" s="171">
        <f t="shared" si="201"/>
        <v>196385</v>
      </c>
      <c r="AF171" s="171">
        <f t="shared" si="201"/>
        <v>67094.364000000001</v>
      </c>
      <c r="AG171" s="171">
        <f>AG151+AG163+AG170</f>
        <v>120000</v>
      </c>
      <c r="AH171" s="171">
        <f t="shared" si="201"/>
        <v>22434.964</v>
      </c>
      <c r="AI171" s="171">
        <f t="shared" si="201"/>
        <v>67052.5</v>
      </c>
      <c r="AJ171" s="171">
        <f t="shared" si="201"/>
        <v>11598</v>
      </c>
      <c r="AK171" s="171">
        <f t="shared" si="201"/>
        <v>68549.299999999988</v>
      </c>
      <c r="AL171" s="171">
        <f t="shared" si="201"/>
        <v>15773.28</v>
      </c>
      <c r="AM171" s="171">
        <f t="shared" si="201"/>
        <v>1496.8000000000002</v>
      </c>
      <c r="AN171" s="171">
        <f t="shared" si="201"/>
        <v>4175.2800000000007</v>
      </c>
      <c r="AO171" s="171">
        <f t="shared" si="201"/>
        <v>9701.2000000000007</v>
      </c>
      <c r="AP171" s="171">
        <f t="shared" si="201"/>
        <v>3541.2560000000003</v>
      </c>
      <c r="AQ171" s="171">
        <f t="shared" si="201"/>
        <v>29840.6</v>
      </c>
      <c r="AR171" s="171">
        <f t="shared" si="201"/>
        <v>1885</v>
      </c>
      <c r="AS171" s="171">
        <f t="shared" si="201"/>
        <v>0</v>
      </c>
      <c r="AT171" s="171">
        <f t="shared" si="201"/>
        <v>68549.299999999988</v>
      </c>
      <c r="AU171" s="171">
        <f t="shared" si="201"/>
        <v>15773.28</v>
      </c>
      <c r="AV171" s="171">
        <f t="shared" si="201"/>
        <v>0</v>
      </c>
      <c r="AW171" s="171">
        <f>AW151+AW163+AW170</f>
        <v>84322.579999999987</v>
      </c>
      <c r="AX171" s="171">
        <f>AX151+AX163+AX170</f>
        <v>0</v>
      </c>
      <c r="AY171" s="619"/>
      <c r="AZ171" s="619"/>
      <c r="BA171" s="619"/>
    </row>
    <row r="172" spans="2:53" s="69" customFormat="1" ht="33">
      <c r="B172" s="660"/>
      <c r="C172" s="179" t="s">
        <v>1688</v>
      </c>
      <c r="D172" s="180"/>
      <c r="E172" s="181"/>
      <c r="F172" s="181"/>
      <c r="G172" s="181"/>
      <c r="H172" s="682"/>
      <c r="I172" s="181"/>
      <c r="J172" s="682"/>
      <c r="K172" s="181"/>
      <c r="L172" s="181"/>
      <c r="M172" s="682"/>
      <c r="N172" s="181"/>
      <c r="O172" s="682"/>
      <c r="P172" s="181"/>
      <c r="Q172" s="181"/>
      <c r="R172" s="181"/>
      <c r="S172" s="181"/>
      <c r="T172" s="181"/>
      <c r="U172" s="181"/>
      <c r="V172" s="683"/>
      <c r="W172" s="181"/>
      <c r="X172" s="683"/>
      <c r="Y172" s="683"/>
      <c r="Z172" s="181"/>
      <c r="AA172" s="181"/>
      <c r="AB172" s="181"/>
      <c r="AC172" s="183"/>
      <c r="AD172" s="183"/>
      <c r="AE172" s="183"/>
      <c r="AF172" s="183"/>
      <c r="AG172" s="183"/>
      <c r="AH172" s="183"/>
      <c r="AI172" s="191">
        <f>G172*S172</f>
        <v>0</v>
      </c>
      <c r="AJ172" s="191">
        <f>G172*T172</f>
        <v>0</v>
      </c>
      <c r="AK172" s="191">
        <f>R172*S172</f>
        <v>0</v>
      </c>
      <c r="AL172" s="191">
        <f>R172*T172</f>
        <v>0</v>
      </c>
      <c r="AM172" s="191">
        <f t="shared" ref="AM172:AN174" si="202">AK172-AI172</f>
        <v>0</v>
      </c>
      <c r="AN172" s="191">
        <f t="shared" si="202"/>
        <v>0</v>
      </c>
      <c r="AO172" s="193">
        <f>Z172*S172</f>
        <v>0</v>
      </c>
      <c r="AP172" s="193">
        <f>Z172*T172</f>
        <v>0</v>
      </c>
      <c r="AQ172" s="193">
        <f>AA172</f>
        <v>0</v>
      </c>
      <c r="AR172" s="193">
        <f>W172*S172</f>
        <v>0</v>
      </c>
      <c r="AS172" s="193">
        <f>W172*T172</f>
        <v>0</v>
      </c>
      <c r="AT172" s="197">
        <f t="shared" si="199"/>
        <v>0</v>
      </c>
      <c r="AU172" s="197">
        <f t="shared" si="199"/>
        <v>0</v>
      </c>
      <c r="AV172" s="191"/>
      <c r="AW172" s="236"/>
      <c r="AX172" s="236"/>
      <c r="AY172" s="619"/>
      <c r="AZ172" s="619"/>
      <c r="BA172" s="619"/>
    </row>
    <row r="173" spans="2:53" s="69" customFormat="1" ht="33">
      <c r="B173" s="660"/>
      <c r="C173" s="208" t="s">
        <v>1309</v>
      </c>
      <c r="D173" s="205"/>
      <c r="E173" s="206"/>
      <c r="F173" s="206"/>
      <c r="G173" s="206"/>
      <c r="H173" s="696"/>
      <c r="I173" s="206"/>
      <c r="J173" s="696"/>
      <c r="K173" s="206"/>
      <c r="L173" s="206"/>
      <c r="M173" s="696"/>
      <c r="N173" s="206"/>
      <c r="O173" s="696"/>
      <c r="P173" s="206"/>
      <c r="Q173" s="206"/>
      <c r="R173" s="206"/>
      <c r="S173" s="206"/>
      <c r="T173" s="206"/>
      <c r="U173" s="206"/>
      <c r="V173" s="697"/>
      <c r="W173" s="206"/>
      <c r="X173" s="697"/>
      <c r="Y173" s="697"/>
      <c r="Z173" s="206"/>
      <c r="AA173" s="206"/>
      <c r="AB173" s="206"/>
      <c r="AC173" s="207"/>
      <c r="AD173" s="207"/>
      <c r="AE173" s="207"/>
      <c r="AF173" s="207"/>
      <c r="AG173" s="207"/>
      <c r="AH173" s="207"/>
      <c r="AI173" s="191">
        <f>G173*S173</f>
        <v>0</v>
      </c>
      <c r="AJ173" s="191">
        <f>G173*T173</f>
        <v>0</v>
      </c>
      <c r="AK173" s="191">
        <f>R173*S173</f>
        <v>0</v>
      </c>
      <c r="AL173" s="191">
        <f>R173*T173</f>
        <v>0</v>
      </c>
      <c r="AM173" s="191">
        <f t="shared" si="202"/>
        <v>0</v>
      </c>
      <c r="AN173" s="191">
        <f t="shared" si="202"/>
        <v>0</v>
      </c>
      <c r="AO173" s="193">
        <f>Z173*S173</f>
        <v>0</v>
      </c>
      <c r="AP173" s="193">
        <f>Z173*T173</f>
        <v>0</v>
      </c>
      <c r="AQ173" s="193">
        <f>AA173</f>
        <v>0</v>
      </c>
      <c r="AR173" s="193">
        <f>W173*S173</f>
        <v>0</v>
      </c>
      <c r="AS173" s="193">
        <f>W173*T173</f>
        <v>0</v>
      </c>
      <c r="AT173" s="197">
        <f t="shared" si="199"/>
        <v>0</v>
      </c>
      <c r="AU173" s="197">
        <f t="shared" si="199"/>
        <v>0</v>
      </c>
      <c r="AV173" s="191"/>
      <c r="AW173" s="236"/>
      <c r="AX173" s="236"/>
      <c r="AY173" s="619"/>
      <c r="AZ173" s="619"/>
      <c r="BA173" s="619"/>
    </row>
    <row r="174" spans="2:53" s="69" customFormat="1" ht="58.5">
      <c r="B174" s="660">
        <f>B169+1</f>
        <v>114</v>
      </c>
      <c r="C174" s="185" t="s">
        <v>1689</v>
      </c>
      <c r="D174" s="186" t="s">
        <v>1288</v>
      </c>
      <c r="E174" s="660" t="s">
        <v>1006</v>
      </c>
      <c r="F174" s="660">
        <v>13</v>
      </c>
      <c r="G174" s="187">
        <v>7253</v>
      </c>
      <c r="H174" s="688"/>
      <c r="I174" s="660"/>
      <c r="J174" s="687"/>
      <c r="K174" s="187"/>
      <c r="L174" s="187"/>
      <c r="M174" s="687"/>
      <c r="N174" s="181"/>
      <c r="O174" s="688">
        <v>0.15</v>
      </c>
      <c r="P174" s="187">
        <f>G174*O174</f>
        <v>1087.95</v>
      </c>
      <c r="Q174" s="189"/>
      <c r="R174" s="187">
        <f>G174+I174+K174+L174+N174+P174+Q174</f>
        <v>8340.9500000000007</v>
      </c>
      <c r="S174" s="187">
        <v>0.75</v>
      </c>
      <c r="T174" s="660"/>
      <c r="U174" s="660"/>
      <c r="V174" s="688"/>
      <c r="W174" s="660"/>
      <c r="X174" s="674">
        <v>28</v>
      </c>
      <c r="Y174" s="688">
        <v>0.3</v>
      </c>
      <c r="Z174" s="187">
        <f>R174*Y174</f>
        <v>2502.2850000000003</v>
      </c>
      <c r="AA174" s="187"/>
      <c r="AB174" s="187">
        <f>(R174+Z174)*S174+AA174</f>
        <v>8132.4262500000004</v>
      </c>
      <c r="AC174" s="689">
        <f>AF174</f>
        <v>6867.5737499999996</v>
      </c>
      <c r="AD174" s="689">
        <f>AB174+AC174</f>
        <v>15000</v>
      </c>
      <c r="AE174" s="190">
        <f>20000*S174</f>
        <v>15000</v>
      </c>
      <c r="AF174" s="190">
        <f>AE174-AB174</f>
        <v>6867.5737499999996</v>
      </c>
      <c r="AG174" s="689">
        <f>8000*S174</f>
        <v>6000</v>
      </c>
      <c r="AH174" s="190">
        <f>AG174-(R174*S174)</f>
        <v>-255.71250000000055</v>
      </c>
      <c r="AI174" s="191">
        <f>G174*S174</f>
        <v>5439.75</v>
      </c>
      <c r="AJ174" s="191">
        <f>G174*T174</f>
        <v>0</v>
      </c>
      <c r="AK174" s="191">
        <f>R174*S174</f>
        <v>6255.7125000000005</v>
      </c>
      <c r="AL174" s="191">
        <f>R174*T174</f>
        <v>0</v>
      </c>
      <c r="AM174" s="191">
        <f t="shared" si="202"/>
        <v>815.96250000000055</v>
      </c>
      <c r="AN174" s="191">
        <f t="shared" si="202"/>
        <v>0</v>
      </c>
      <c r="AO174" s="193">
        <f>Z174*S174</f>
        <v>1876.7137500000003</v>
      </c>
      <c r="AP174" s="193">
        <f>Z174*T174</f>
        <v>0</v>
      </c>
      <c r="AQ174" s="193">
        <f>AA174</f>
        <v>0</v>
      </c>
      <c r="AR174" s="193">
        <f>W174*S174</f>
        <v>0</v>
      </c>
      <c r="AS174" s="193">
        <f>W174*T174</f>
        <v>0</v>
      </c>
      <c r="AT174" s="197">
        <f t="shared" si="199"/>
        <v>6255.7125000000005</v>
      </c>
      <c r="AU174" s="197">
        <f t="shared" si="199"/>
        <v>0</v>
      </c>
      <c r="AV174" s="191"/>
      <c r="AW174" s="236">
        <f>R174*S174</f>
        <v>6255.7125000000005</v>
      </c>
      <c r="AX174" s="236"/>
      <c r="AY174" s="619"/>
      <c r="AZ174" s="619"/>
      <c r="BA174" s="619"/>
    </row>
    <row r="175" spans="2:53" s="69" customFormat="1" ht="31.5">
      <c r="B175" s="660"/>
      <c r="C175" s="168" t="s">
        <v>1662</v>
      </c>
      <c r="D175" s="195"/>
      <c r="E175" s="181"/>
      <c r="F175" s="181"/>
      <c r="G175" s="171">
        <f>SUM(G174:G174)</f>
        <v>7253</v>
      </c>
      <c r="H175" s="703"/>
      <c r="I175" s="171">
        <f>SUM(I174:I174)</f>
        <v>0</v>
      </c>
      <c r="J175" s="703">
        <f>SUM(J174:J174)</f>
        <v>0</v>
      </c>
      <c r="K175" s="171">
        <f>SUM(K174:K174)</f>
        <v>0</v>
      </c>
      <c r="L175" s="171"/>
      <c r="M175" s="703"/>
      <c r="N175" s="171"/>
      <c r="O175" s="703"/>
      <c r="P175" s="171">
        <f>SUM(P174:P174)</f>
        <v>1087.95</v>
      </c>
      <c r="Q175" s="171"/>
      <c r="R175" s="171">
        <f>SUM(R174:R174)</f>
        <v>8340.9500000000007</v>
      </c>
      <c r="S175" s="171">
        <f>SUM(S174:S174)</f>
        <v>0.75</v>
      </c>
      <c r="T175" s="171">
        <f>SUM(T174:T174)</f>
        <v>0</v>
      </c>
      <c r="U175" s="171"/>
      <c r="V175" s="693"/>
      <c r="W175" s="171"/>
      <c r="X175" s="693"/>
      <c r="Y175" s="693"/>
      <c r="Z175" s="171">
        <f>SUM(Z174:Z174)</f>
        <v>2502.2850000000003</v>
      </c>
      <c r="AA175" s="171">
        <f>SUM(AA174:AA174)</f>
        <v>0</v>
      </c>
      <c r="AB175" s="171">
        <f t="shared" ref="AB175:AV175" si="203">SUM(AB174:AB174)</f>
        <v>8132.4262500000004</v>
      </c>
      <c r="AC175" s="171">
        <f t="shared" si="203"/>
        <v>6867.5737499999996</v>
      </c>
      <c r="AD175" s="171">
        <f>SUM(AD174:AD174)</f>
        <v>15000</v>
      </c>
      <c r="AE175" s="171">
        <f t="shared" si="203"/>
        <v>15000</v>
      </c>
      <c r="AF175" s="171">
        <f t="shared" si="203"/>
        <v>6867.5737499999996</v>
      </c>
      <c r="AG175" s="171">
        <f>SUM(AG174:AG174)</f>
        <v>6000</v>
      </c>
      <c r="AH175" s="171">
        <f t="shared" si="203"/>
        <v>-255.71250000000055</v>
      </c>
      <c r="AI175" s="171">
        <f t="shared" si="203"/>
        <v>5439.75</v>
      </c>
      <c r="AJ175" s="171">
        <f t="shared" si="203"/>
        <v>0</v>
      </c>
      <c r="AK175" s="171">
        <f t="shared" si="203"/>
        <v>6255.7125000000005</v>
      </c>
      <c r="AL175" s="171">
        <f t="shared" si="203"/>
        <v>0</v>
      </c>
      <c r="AM175" s="171">
        <f t="shared" si="203"/>
        <v>815.96250000000055</v>
      </c>
      <c r="AN175" s="171">
        <f t="shared" si="203"/>
        <v>0</v>
      </c>
      <c r="AO175" s="171">
        <f t="shared" si="203"/>
        <v>1876.7137500000003</v>
      </c>
      <c r="AP175" s="171">
        <f t="shared" si="203"/>
        <v>0</v>
      </c>
      <c r="AQ175" s="171">
        <f t="shared" si="203"/>
        <v>0</v>
      </c>
      <c r="AR175" s="171">
        <f t="shared" si="203"/>
        <v>0</v>
      </c>
      <c r="AS175" s="171">
        <f t="shared" si="203"/>
        <v>0</v>
      </c>
      <c r="AT175" s="171">
        <f t="shared" si="203"/>
        <v>6255.7125000000005</v>
      </c>
      <c r="AU175" s="171">
        <f t="shared" si="203"/>
        <v>0</v>
      </c>
      <c r="AV175" s="171">
        <f t="shared" si="203"/>
        <v>0</v>
      </c>
      <c r="AW175" s="171">
        <f>SUM(AW174:AW174)</f>
        <v>6255.7125000000005</v>
      </c>
      <c r="AX175" s="171">
        <f>SUM(AX174:AX174)</f>
        <v>0</v>
      </c>
      <c r="AY175" s="619"/>
      <c r="AZ175" s="619"/>
      <c r="BA175" s="619"/>
    </row>
    <row r="176" spans="2:53" s="69" customFormat="1" ht="33">
      <c r="B176" s="660"/>
      <c r="C176" s="208" t="s">
        <v>1508</v>
      </c>
      <c r="D176" s="205"/>
      <c r="E176" s="206"/>
      <c r="F176" s="206"/>
      <c r="G176" s="206"/>
      <c r="H176" s="696"/>
      <c r="I176" s="206"/>
      <c r="J176" s="696"/>
      <c r="K176" s="206"/>
      <c r="L176" s="206"/>
      <c r="M176" s="696"/>
      <c r="N176" s="206"/>
      <c r="O176" s="696"/>
      <c r="P176" s="206"/>
      <c r="Q176" s="206"/>
      <c r="R176" s="206"/>
      <c r="S176" s="206"/>
      <c r="T176" s="206"/>
      <c r="U176" s="206"/>
      <c r="V176" s="697"/>
      <c r="W176" s="206"/>
      <c r="X176" s="697"/>
      <c r="Y176" s="697"/>
      <c r="Z176" s="206"/>
      <c r="AA176" s="206"/>
      <c r="AB176" s="206"/>
      <c r="AC176" s="207"/>
      <c r="AD176" s="207"/>
      <c r="AE176" s="207"/>
      <c r="AF176" s="207"/>
      <c r="AG176" s="207"/>
      <c r="AH176" s="207"/>
      <c r="AI176" s="191"/>
      <c r="AJ176" s="191"/>
      <c r="AK176" s="191"/>
      <c r="AL176" s="191"/>
      <c r="AM176" s="191"/>
      <c r="AN176" s="191"/>
      <c r="AO176" s="193"/>
      <c r="AP176" s="193"/>
      <c r="AQ176" s="193"/>
      <c r="AR176" s="193"/>
      <c r="AS176" s="193"/>
      <c r="AT176" s="197"/>
      <c r="AU176" s="197"/>
      <c r="AV176" s="191"/>
      <c r="AW176" s="236"/>
      <c r="AX176" s="236"/>
      <c r="AY176" s="619"/>
      <c r="AZ176" s="619"/>
      <c r="BA176" s="619"/>
    </row>
    <row r="177" spans="2:53" s="69" customFormat="1" ht="63">
      <c r="B177" s="660">
        <f>B174+1</f>
        <v>115</v>
      </c>
      <c r="C177" s="185" t="s">
        <v>1714</v>
      </c>
      <c r="D177" s="186" t="s">
        <v>1063</v>
      </c>
      <c r="E177" s="660" t="s">
        <v>1064</v>
      </c>
      <c r="F177" s="660">
        <v>8</v>
      </c>
      <c r="G177" s="187">
        <v>5240</v>
      </c>
      <c r="H177" s="687"/>
      <c r="I177" s="187"/>
      <c r="J177" s="687"/>
      <c r="K177" s="187"/>
      <c r="L177" s="187"/>
      <c r="M177" s="687"/>
      <c r="N177" s="187"/>
      <c r="O177" s="688">
        <v>0.15</v>
      </c>
      <c r="P177" s="187">
        <f t="shared" ref="P177:P182" si="204">G177*O177</f>
        <v>786</v>
      </c>
      <c r="Q177" s="187"/>
      <c r="R177" s="187">
        <f t="shared" ref="R177:R182" si="205">G177+I177+K177+L177+N177+P177+Q177</f>
        <v>6026</v>
      </c>
      <c r="S177" s="187">
        <v>1</v>
      </c>
      <c r="T177" s="194"/>
      <c r="U177" s="194"/>
      <c r="V177" s="692"/>
      <c r="W177" s="194"/>
      <c r="X177" s="674">
        <v>16</v>
      </c>
      <c r="Y177" s="688">
        <v>0.2</v>
      </c>
      <c r="Z177" s="187">
        <f t="shared" ref="Z177:Z182" si="206">R177*Y177</f>
        <v>1205.2</v>
      </c>
      <c r="AA177" s="187">
        <f>AH177</f>
        <v>768.80000000000018</v>
      </c>
      <c r="AB177" s="187">
        <f t="shared" ref="AB177:AB182" si="207">(R177+Z177)*S177+AA177</f>
        <v>8000</v>
      </c>
      <c r="AC177" s="689">
        <f t="shared" ref="AC177:AC182" si="208">AF177</f>
        <v>5500</v>
      </c>
      <c r="AD177" s="689">
        <f t="shared" ref="AD177:AD182" si="209">AB177+AC177</f>
        <v>13500</v>
      </c>
      <c r="AE177" s="190">
        <f t="shared" ref="AE177:AE182" si="210">13500*S177</f>
        <v>13500</v>
      </c>
      <c r="AF177" s="190">
        <f t="shared" ref="AF177:AF182" si="211">AE177-AB177</f>
        <v>5500</v>
      </c>
      <c r="AG177" s="689">
        <f t="shared" ref="AG177:AG182" si="212">8000*S177</f>
        <v>8000</v>
      </c>
      <c r="AH177" s="190">
        <f t="shared" ref="AH177:AH182" si="213">AG177-(R177+Z177)*S177</f>
        <v>768.80000000000018</v>
      </c>
      <c r="AI177" s="191">
        <f t="shared" ref="AI177:AI182" si="214">G177*S177</f>
        <v>5240</v>
      </c>
      <c r="AJ177" s="191">
        <f t="shared" ref="AJ177:AJ182" si="215">G177*T177</f>
        <v>0</v>
      </c>
      <c r="AK177" s="191">
        <f t="shared" ref="AK177:AK182" si="216">R177*S177</f>
        <v>6026</v>
      </c>
      <c r="AL177" s="191">
        <f t="shared" ref="AL177:AL182" si="217">R177*T177</f>
        <v>0</v>
      </c>
      <c r="AM177" s="191">
        <f t="shared" ref="AM177:AN182" si="218">AK177-AI177</f>
        <v>786</v>
      </c>
      <c r="AN177" s="191">
        <f>AL177-AJ177</f>
        <v>0</v>
      </c>
      <c r="AO177" s="193">
        <f t="shared" ref="AO177:AO182" si="219">Z177*S177</f>
        <v>1205.2</v>
      </c>
      <c r="AP177" s="193">
        <f t="shared" ref="AP177:AP182" si="220">Z177*T177</f>
        <v>0</v>
      </c>
      <c r="AQ177" s="193">
        <f t="shared" ref="AQ177:AQ182" si="221">AA177</f>
        <v>768.80000000000018</v>
      </c>
      <c r="AR177" s="193">
        <f t="shared" ref="AR177:AR182" si="222">W177*S177</f>
        <v>0</v>
      </c>
      <c r="AS177" s="193">
        <f t="shared" ref="AS177:AS182" si="223">W177*T177</f>
        <v>0</v>
      </c>
      <c r="AT177" s="197">
        <f>AK177</f>
        <v>6026</v>
      </c>
      <c r="AU177" s="197">
        <f t="shared" si="199"/>
        <v>0</v>
      </c>
      <c r="AV177" s="191"/>
      <c r="AW177" s="236">
        <f t="shared" ref="AW177:AW182" si="224">R177*S177</f>
        <v>6026</v>
      </c>
      <c r="AX177" s="236"/>
      <c r="AY177" s="619"/>
      <c r="AZ177" s="619"/>
      <c r="BA177" s="619"/>
    </row>
    <row r="178" spans="2:53" s="69" customFormat="1" ht="63">
      <c r="B178" s="660">
        <f>1+B177</f>
        <v>116</v>
      </c>
      <c r="C178" s="185" t="s">
        <v>1035</v>
      </c>
      <c r="D178" s="186" t="s">
        <v>1294</v>
      </c>
      <c r="E178" s="660" t="s">
        <v>1070</v>
      </c>
      <c r="F178" s="660">
        <v>9</v>
      </c>
      <c r="G178" s="187">
        <v>5527</v>
      </c>
      <c r="H178" s="687"/>
      <c r="I178" s="187"/>
      <c r="J178" s="687"/>
      <c r="K178" s="187"/>
      <c r="L178" s="187"/>
      <c r="M178" s="687"/>
      <c r="N178" s="187"/>
      <c r="O178" s="688">
        <v>0.15</v>
      </c>
      <c r="P178" s="187">
        <f t="shared" si="204"/>
        <v>829.05</v>
      </c>
      <c r="Q178" s="187"/>
      <c r="R178" s="187">
        <f>G178+I178+K178+L178+N178+P178+Q178</f>
        <v>6356.05</v>
      </c>
      <c r="S178" s="187">
        <v>1</v>
      </c>
      <c r="T178" s="194"/>
      <c r="U178" s="194"/>
      <c r="V178" s="692"/>
      <c r="W178" s="194"/>
      <c r="X178" s="674">
        <v>28</v>
      </c>
      <c r="Y178" s="688">
        <v>0.3</v>
      </c>
      <c r="Z178" s="187">
        <f t="shared" si="206"/>
        <v>1906.8150000000001</v>
      </c>
      <c r="AA178" s="187"/>
      <c r="AB178" s="187">
        <f t="shared" si="207"/>
        <v>8262.8649999999998</v>
      </c>
      <c r="AC178" s="689">
        <f t="shared" si="208"/>
        <v>5237.1350000000002</v>
      </c>
      <c r="AD178" s="689">
        <f t="shared" si="209"/>
        <v>13500</v>
      </c>
      <c r="AE178" s="190">
        <f t="shared" si="210"/>
        <v>13500</v>
      </c>
      <c r="AF178" s="190">
        <f t="shared" si="211"/>
        <v>5237.1350000000002</v>
      </c>
      <c r="AG178" s="689">
        <f t="shared" si="212"/>
        <v>8000</v>
      </c>
      <c r="AH178" s="190">
        <f t="shared" si="213"/>
        <v>-262.86499999999978</v>
      </c>
      <c r="AI178" s="191">
        <f t="shared" si="214"/>
        <v>5527</v>
      </c>
      <c r="AJ178" s="191">
        <f t="shared" si="215"/>
        <v>0</v>
      </c>
      <c r="AK178" s="191">
        <f t="shared" si="216"/>
        <v>6356.05</v>
      </c>
      <c r="AL178" s="191">
        <f t="shared" si="217"/>
        <v>0</v>
      </c>
      <c r="AM178" s="191">
        <f t="shared" si="218"/>
        <v>829.05000000000018</v>
      </c>
      <c r="AN178" s="191">
        <f>AL178-AJ178</f>
        <v>0</v>
      </c>
      <c r="AO178" s="193">
        <f t="shared" si="219"/>
        <v>1906.8150000000001</v>
      </c>
      <c r="AP178" s="193">
        <f t="shared" si="220"/>
        <v>0</v>
      </c>
      <c r="AQ178" s="193">
        <f t="shared" si="221"/>
        <v>0</v>
      </c>
      <c r="AR178" s="193">
        <f t="shared" si="222"/>
        <v>0</v>
      </c>
      <c r="AS178" s="193">
        <f t="shared" si="223"/>
        <v>0</v>
      </c>
      <c r="AT178" s="197">
        <f t="shared" si="199"/>
        <v>6356.05</v>
      </c>
      <c r="AU178" s="197">
        <f t="shared" si="199"/>
        <v>0</v>
      </c>
      <c r="AV178" s="191"/>
      <c r="AW178" s="236">
        <f t="shared" si="224"/>
        <v>6356.05</v>
      </c>
      <c r="AX178" s="236"/>
      <c r="AY178" s="619"/>
      <c r="AZ178" s="619"/>
      <c r="BA178" s="619"/>
    </row>
    <row r="179" spans="2:53" s="69" customFormat="1" ht="63">
      <c r="B179" s="660">
        <f>1+B178</f>
        <v>117</v>
      </c>
      <c r="C179" s="185" t="s">
        <v>1035</v>
      </c>
      <c r="D179" s="186" t="s">
        <v>1715</v>
      </c>
      <c r="E179" s="660" t="s">
        <v>1071</v>
      </c>
      <c r="F179" s="660">
        <v>9</v>
      </c>
      <c r="G179" s="187">
        <v>5527</v>
      </c>
      <c r="H179" s="687"/>
      <c r="I179" s="187"/>
      <c r="J179" s="687"/>
      <c r="K179" s="187"/>
      <c r="L179" s="187"/>
      <c r="M179" s="687"/>
      <c r="N179" s="187"/>
      <c r="O179" s="688">
        <v>0.15</v>
      </c>
      <c r="P179" s="187">
        <f t="shared" si="204"/>
        <v>829.05</v>
      </c>
      <c r="Q179" s="187"/>
      <c r="R179" s="187">
        <f>G179+I179+K179+L179+N179+P179+Q179</f>
        <v>6356.05</v>
      </c>
      <c r="S179" s="187">
        <v>1</v>
      </c>
      <c r="T179" s="187"/>
      <c r="U179" s="187"/>
      <c r="V179" s="687"/>
      <c r="W179" s="187"/>
      <c r="X179" s="674">
        <v>36</v>
      </c>
      <c r="Y179" s="688">
        <v>0.3</v>
      </c>
      <c r="Z179" s="187">
        <f t="shared" si="206"/>
        <v>1906.8150000000001</v>
      </c>
      <c r="AA179" s="187"/>
      <c r="AB179" s="187">
        <f t="shared" si="207"/>
        <v>8262.8649999999998</v>
      </c>
      <c r="AC179" s="689">
        <f t="shared" si="208"/>
        <v>5237.1350000000002</v>
      </c>
      <c r="AD179" s="689">
        <f t="shared" si="209"/>
        <v>13500</v>
      </c>
      <c r="AE179" s="190">
        <f t="shared" si="210"/>
        <v>13500</v>
      </c>
      <c r="AF179" s="190">
        <f t="shared" si="211"/>
        <v>5237.1350000000002</v>
      </c>
      <c r="AG179" s="689">
        <f t="shared" si="212"/>
        <v>8000</v>
      </c>
      <c r="AH179" s="190">
        <f t="shared" si="213"/>
        <v>-262.86499999999978</v>
      </c>
      <c r="AI179" s="191">
        <f t="shared" si="214"/>
        <v>5527</v>
      </c>
      <c r="AJ179" s="191">
        <f t="shared" si="215"/>
        <v>0</v>
      </c>
      <c r="AK179" s="191">
        <f t="shared" si="216"/>
        <v>6356.05</v>
      </c>
      <c r="AL179" s="191">
        <f t="shared" si="217"/>
        <v>0</v>
      </c>
      <c r="AM179" s="191">
        <f t="shared" si="218"/>
        <v>829.05000000000018</v>
      </c>
      <c r="AN179" s="191">
        <f t="shared" si="218"/>
        <v>0</v>
      </c>
      <c r="AO179" s="193">
        <f t="shared" si="219"/>
        <v>1906.8150000000001</v>
      </c>
      <c r="AP179" s="193">
        <f t="shared" si="220"/>
        <v>0</v>
      </c>
      <c r="AQ179" s="193">
        <f t="shared" si="221"/>
        <v>0</v>
      </c>
      <c r="AR179" s="193">
        <f t="shared" si="222"/>
        <v>0</v>
      </c>
      <c r="AS179" s="193">
        <f t="shared" si="223"/>
        <v>0</v>
      </c>
      <c r="AT179" s="197">
        <f t="shared" si="199"/>
        <v>6356.05</v>
      </c>
      <c r="AU179" s="197">
        <f t="shared" si="199"/>
        <v>0</v>
      </c>
      <c r="AV179" s="191"/>
      <c r="AW179" s="236">
        <f t="shared" si="224"/>
        <v>6356.05</v>
      </c>
      <c r="AX179" s="236"/>
      <c r="AY179" s="619"/>
      <c r="AZ179" s="619"/>
      <c r="BA179" s="619"/>
    </row>
    <row r="180" spans="2:53" s="69" customFormat="1" ht="63">
      <c r="B180" s="660">
        <f>1+B179</f>
        <v>118</v>
      </c>
      <c r="C180" s="185" t="s">
        <v>1035</v>
      </c>
      <c r="D180" s="186" t="s">
        <v>257</v>
      </c>
      <c r="E180" s="660" t="s">
        <v>1072</v>
      </c>
      <c r="F180" s="660">
        <v>9</v>
      </c>
      <c r="G180" s="187">
        <v>5527</v>
      </c>
      <c r="H180" s="687"/>
      <c r="I180" s="187"/>
      <c r="J180" s="687"/>
      <c r="K180" s="187"/>
      <c r="L180" s="187"/>
      <c r="M180" s="687"/>
      <c r="N180" s="187"/>
      <c r="O180" s="688">
        <v>0.15</v>
      </c>
      <c r="P180" s="187">
        <f t="shared" si="204"/>
        <v>829.05</v>
      </c>
      <c r="Q180" s="194"/>
      <c r="R180" s="187">
        <f t="shared" si="205"/>
        <v>6356.05</v>
      </c>
      <c r="S180" s="187">
        <v>1</v>
      </c>
      <c r="T180" s="187"/>
      <c r="U180" s="194"/>
      <c r="V180" s="692"/>
      <c r="W180" s="194"/>
      <c r="X180" s="674">
        <v>23</v>
      </c>
      <c r="Y180" s="688">
        <v>0.3</v>
      </c>
      <c r="Z180" s="187">
        <f t="shared" si="206"/>
        <v>1906.8150000000001</v>
      </c>
      <c r="AA180" s="187"/>
      <c r="AB180" s="187">
        <f t="shared" si="207"/>
        <v>8262.8649999999998</v>
      </c>
      <c r="AC180" s="689">
        <f t="shared" si="208"/>
        <v>5237.1350000000002</v>
      </c>
      <c r="AD180" s="689">
        <f t="shared" si="209"/>
        <v>13500</v>
      </c>
      <c r="AE180" s="190">
        <f t="shared" si="210"/>
        <v>13500</v>
      </c>
      <c r="AF180" s="190">
        <f t="shared" si="211"/>
        <v>5237.1350000000002</v>
      </c>
      <c r="AG180" s="689">
        <f t="shared" si="212"/>
        <v>8000</v>
      </c>
      <c r="AH180" s="190">
        <f t="shared" si="213"/>
        <v>-262.86499999999978</v>
      </c>
      <c r="AI180" s="191">
        <f t="shared" si="214"/>
        <v>5527</v>
      </c>
      <c r="AJ180" s="191">
        <f t="shared" si="215"/>
        <v>0</v>
      </c>
      <c r="AK180" s="191">
        <f t="shared" si="216"/>
        <v>6356.05</v>
      </c>
      <c r="AL180" s="191">
        <f t="shared" si="217"/>
        <v>0</v>
      </c>
      <c r="AM180" s="191">
        <f t="shared" si="218"/>
        <v>829.05000000000018</v>
      </c>
      <c r="AN180" s="191">
        <f t="shared" si="218"/>
        <v>0</v>
      </c>
      <c r="AO180" s="193">
        <f t="shared" si="219"/>
        <v>1906.8150000000001</v>
      </c>
      <c r="AP180" s="193">
        <f t="shared" si="220"/>
        <v>0</v>
      </c>
      <c r="AQ180" s="193">
        <f t="shared" si="221"/>
        <v>0</v>
      </c>
      <c r="AR180" s="193">
        <f t="shared" si="222"/>
        <v>0</v>
      </c>
      <c r="AS180" s="193">
        <f t="shared" si="223"/>
        <v>0</v>
      </c>
      <c r="AT180" s="197">
        <f t="shared" si="199"/>
        <v>6356.05</v>
      </c>
      <c r="AU180" s="197">
        <f t="shared" si="199"/>
        <v>0</v>
      </c>
      <c r="AV180" s="191"/>
      <c r="AW180" s="236">
        <f t="shared" si="224"/>
        <v>6356.05</v>
      </c>
      <c r="AX180" s="236"/>
      <c r="AY180" s="619"/>
      <c r="AZ180" s="619"/>
      <c r="BA180" s="619"/>
    </row>
    <row r="181" spans="2:53" s="69" customFormat="1" ht="63">
      <c r="B181" s="660">
        <f>1+B180</f>
        <v>119</v>
      </c>
      <c r="C181" s="185" t="s">
        <v>1035</v>
      </c>
      <c r="D181" s="186" t="s">
        <v>258</v>
      </c>
      <c r="E181" s="660" t="s">
        <v>106</v>
      </c>
      <c r="F181" s="660">
        <v>9</v>
      </c>
      <c r="G181" s="187">
        <v>5527</v>
      </c>
      <c r="H181" s="687"/>
      <c r="I181" s="187"/>
      <c r="J181" s="688"/>
      <c r="K181" s="189"/>
      <c r="L181" s="189"/>
      <c r="M181" s="687"/>
      <c r="N181" s="187"/>
      <c r="O181" s="688">
        <v>0.15</v>
      </c>
      <c r="P181" s="187">
        <f t="shared" si="204"/>
        <v>829.05</v>
      </c>
      <c r="Q181" s="194"/>
      <c r="R181" s="187">
        <f t="shared" si="205"/>
        <v>6356.05</v>
      </c>
      <c r="S181" s="187">
        <v>1</v>
      </c>
      <c r="T181" s="187"/>
      <c r="U181" s="194"/>
      <c r="V181" s="692"/>
      <c r="W181" s="194"/>
      <c r="X181" s="674">
        <v>20</v>
      </c>
      <c r="Y181" s="688">
        <v>0.3</v>
      </c>
      <c r="Z181" s="187">
        <f t="shared" si="206"/>
        <v>1906.8150000000001</v>
      </c>
      <c r="AA181" s="187"/>
      <c r="AB181" s="187">
        <f t="shared" si="207"/>
        <v>8262.8649999999998</v>
      </c>
      <c r="AC181" s="689">
        <f t="shared" si="208"/>
        <v>5237.1350000000002</v>
      </c>
      <c r="AD181" s="689">
        <f t="shared" si="209"/>
        <v>13500</v>
      </c>
      <c r="AE181" s="190">
        <f t="shared" si="210"/>
        <v>13500</v>
      </c>
      <c r="AF181" s="190">
        <f t="shared" si="211"/>
        <v>5237.1350000000002</v>
      </c>
      <c r="AG181" s="689">
        <f t="shared" si="212"/>
        <v>8000</v>
      </c>
      <c r="AH181" s="190">
        <f t="shared" si="213"/>
        <v>-262.86499999999978</v>
      </c>
      <c r="AI181" s="191">
        <f t="shared" si="214"/>
        <v>5527</v>
      </c>
      <c r="AJ181" s="191">
        <f t="shared" si="215"/>
        <v>0</v>
      </c>
      <c r="AK181" s="191">
        <f t="shared" si="216"/>
        <v>6356.05</v>
      </c>
      <c r="AL181" s="191">
        <f t="shared" si="217"/>
        <v>0</v>
      </c>
      <c r="AM181" s="191">
        <f t="shared" si="218"/>
        <v>829.05000000000018</v>
      </c>
      <c r="AN181" s="191">
        <f>AL181-AJ181</f>
        <v>0</v>
      </c>
      <c r="AO181" s="193">
        <f t="shared" si="219"/>
        <v>1906.8150000000001</v>
      </c>
      <c r="AP181" s="193">
        <f t="shared" si="220"/>
        <v>0</v>
      </c>
      <c r="AQ181" s="193">
        <f t="shared" si="221"/>
        <v>0</v>
      </c>
      <c r="AR181" s="193">
        <f t="shared" si="222"/>
        <v>0</v>
      </c>
      <c r="AS181" s="193">
        <f t="shared" si="223"/>
        <v>0</v>
      </c>
      <c r="AT181" s="197">
        <f t="shared" si="199"/>
        <v>6356.05</v>
      </c>
      <c r="AU181" s="197">
        <f t="shared" si="199"/>
        <v>0</v>
      </c>
      <c r="AV181" s="191"/>
      <c r="AW181" s="236">
        <f t="shared" si="224"/>
        <v>6356.05</v>
      </c>
      <c r="AX181" s="236"/>
      <c r="AY181" s="619"/>
      <c r="AZ181" s="619"/>
      <c r="BA181" s="619"/>
    </row>
    <row r="182" spans="2:53" s="69" customFormat="1" ht="63">
      <c r="B182" s="660">
        <f>1+B181</f>
        <v>120</v>
      </c>
      <c r="C182" s="185" t="s">
        <v>1035</v>
      </c>
      <c r="D182" s="186" t="s">
        <v>259</v>
      </c>
      <c r="E182" s="660" t="s">
        <v>1076</v>
      </c>
      <c r="F182" s="660">
        <v>9</v>
      </c>
      <c r="G182" s="187">
        <v>5527</v>
      </c>
      <c r="H182" s="687"/>
      <c r="I182" s="187"/>
      <c r="J182" s="687"/>
      <c r="K182" s="187"/>
      <c r="L182" s="187"/>
      <c r="M182" s="687"/>
      <c r="N182" s="187"/>
      <c r="O182" s="688">
        <v>0.15</v>
      </c>
      <c r="P182" s="187">
        <f t="shared" si="204"/>
        <v>829.05</v>
      </c>
      <c r="Q182" s="187"/>
      <c r="R182" s="187">
        <f t="shared" si="205"/>
        <v>6356.05</v>
      </c>
      <c r="S182" s="187">
        <v>1</v>
      </c>
      <c r="T182" s="187"/>
      <c r="U182" s="187"/>
      <c r="V182" s="687"/>
      <c r="W182" s="187"/>
      <c r="X182" s="674">
        <v>38</v>
      </c>
      <c r="Y182" s="688">
        <v>0.3</v>
      </c>
      <c r="Z182" s="187">
        <f t="shared" si="206"/>
        <v>1906.8150000000001</v>
      </c>
      <c r="AA182" s="187"/>
      <c r="AB182" s="187">
        <f t="shared" si="207"/>
        <v>8262.8649999999998</v>
      </c>
      <c r="AC182" s="689">
        <f t="shared" si="208"/>
        <v>5237.1350000000002</v>
      </c>
      <c r="AD182" s="689">
        <f t="shared" si="209"/>
        <v>13500</v>
      </c>
      <c r="AE182" s="190">
        <f t="shared" si="210"/>
        <v>13500</v>
      </c>
      <c r="AF182" s="190">
        <f t="shared" si="211"/>
        <v>5237.1350000000002</v>
      </c>
      <c r="AG182" s="689">
        <f t="shared" si="212"/>
        <v>8000</v>
      </c>
      <c r="AH182" s="190">
        <f t="shared" si="213"/>
        <v>-262.86499999999978</v>
      </c>
      <c r="AI182" s="191">
        <f t="shared" si="214"/>
        <v>5527</v>
      </c>
      <c r="AJ182" s="191">
        <f t="shared" si="215"/>
        <v>0</v>
      </c>
      <c r="AK182" s="191">
        <f t="shared" si="216"/>
        <v>6356.05</v>
      </c>
      <c r="AL182" s="191">
        <f t="shared" si="217"/>
        <v>0</v>
      </c>
      <c r="AM182" s="191">
        <f t="shared" si="218"/>
        <v>829.05000000000018</v>
      </c>
      <c r="AN182" s="191">
        <f>AL182-AJ182</f>
        <v>0</v>
      </c>
      <c r="AO182" s="193">
        <f t="shared" si="219"/>
        <v>1906.8150000000001</v>
      </c>
      <c r="AP182" s="193">
        <f t="shared" si="220"/>
        <v>0</v>
      </c>
      <c r="AQ182" s="193">
        <f t="shared" si="221"/>
        <v>0</v>
      </c>
      <c r="AR182" s="193">
        <f t="shared" si="222"/>
        <v>0</v>
      </c>
      <c r="AS182" s="193">
        <f t="shared" si="223"/>
        <v>0</v>
      </c>
      <c r="AT182" s="197">
        <f t="shared" si="199"/>
        <v>6356.05</v>
      </c>
      <c r="AU182" s="197">
        <f t="shared" si="199"/>
        <v>0</v>
      </c>
      <c r="AV182" s="191"/>
      <c r="AW182" s="236">
        <f t="shared" si="224"/>
        <v>6356.05</v>
      </c>
      <c r="AX182" s="236"/>
      <c r="AY182" s="619"/>
      <c r="AZ182" s="619"/>
      <c r="BA182" s="619"/>
    </row>
    <row r="183" spans="2:53" s="69" customFormat="1" ht="31.5">
      <c r="B183" s="660"/>
      <c r="C183" s="168" t="s">
        <v>1662</v>
      </c>
      <c r="D183" s="195"/>
      <c r="E183" s="181"/>
      <c r="F183" s="181"/>
      <c r="G183" s="171">
        <f>SUM(G177:G182)</f>
        <v>32875</v>
      </c>
      <c r="H183" s="703"/>
      <c r="I183" s="171">
        <f>SUM(I177:I182)</f>
        <v>0</v>
      </c>
      <c r="J183" s="703"/>
      <c r="K183" s="171"/>
      <c r="L183" s="171"/>
      <c r="M183" s="703"/>
      <c r="N183" s="171"/>
      <c r="O183" s="703"/>
      <c r="P183" s="171">
        <f>SUM(P177:P182)</f>
        <v>4931.25</v>
      </c>
      <c r="Q183" s="171">
        <f>SUM(Q177:Q182)</f>
        <v>0</v>
      </c>
      <c r="R183" s="171">
        <f>SUM(R177:R182)</f>
        <v>37806.25</v>
      </c>
      <c r="S183" s="171">
        <f>SUM(S177:S182)</f>
        <v>6</v>
      </c>
      <c r="T183" s="171">
        <f>SUM(T177:T182)</f>
        <v>0</v>
      </c>
      <c r="U183" s="171"/>
      <c r="V183" s="693"/>
      <c r="W183" s="171"/>
      <c r="X183" s="693"/>
      <c r="Y183" s="693"/>
      <c r="Z183" s="171">
        <f>SUM(Z177:Z182)</f>
        <v>10739.275000000001</v>
      </c>
      <c r="AA183" s="171">
        <f t="shared" ref="AA183:AV183" si="225">SUM(AA177:AA182)</f>
        <v>768.80000000000018</v>
      </c>
      <c r="AB183" s="171">
        <f>SUM(AB177:AB182)</f>
        <v>49314.324999999997</v>
      </c>
      <c r="AC183" s="171">
        <f>SUM(AC177:AC182)</f>
        <v>31685.675000000003</v>
      </c>
      <c r="AD183" s="171">
        <f>SUM(AD177:AD182)</f>
        <v>81000</v>
      </c>
      <c r="AE183" s="171">
        <f t="shared" si="225"/>
        <v>81000</v>
      </c>
      <c r="AF183" s="171">
        <f t="shared" si="225"/>
        <v>31685.675000000003</v>
      </c>
      <c r="AG183" s="171">
        <f>SUM(AG177:AG182)</f>
        <v>48000</v>
      </c>
      <c r="AH183" s="171">
        <f t="shared" si="225"/>
        <v>-545.52499999999873</v>
      </c>
      <c r="AI183" s="171">
        <f t="shared" si="225"/>
        <v>32875</v>
      </c>
      <c r="AJ183" s="171">
        <f t="shared" si="225"/>
        <v>0</v>
      </c>
      <c r="AK183" s="171">
        <f t="shared" si="225"/>
        <v>37806.25</v>
      </c>
      <c r="AL183" s="171">
        <f t="shared" si="225"/>
        <v>0</v>
      </c>
      <c r="AM183" s="171">
        <f t="shared" si="225"/>
        <v>4931.2500000000009</v>
      </c>
      <c r="AN183" s="171">
        <f t="shared" si="225"/>
        <v>0</v>
      </c>
      <c r="AO183" s="171">
        <f t="shared" si="225"/>
        <v>10739.275000000001</v>
      </c>
      <c r="AP183" s="171">
        <f t="shared" si="225"/>
        <v>0</v>
      </c>
      <c r="AQ183" s="171">
        <f t="shared" si="225"/>
        <v>768.80000000000018</v>
      </c>
      <c r="AR183" s="171">
        <f t="shared" si="225"/>
        <v>0</v>
      </c>
      <c r="AS183" s="171">
        <f t="shared" si="225"/>
        <v>0</v>
      </c>
      <c r="AT183" s="171">
        <f t="shared" si="225"/>
        <v>37806.25</v>
      </c>
      <c r="AU183" s="171">
        <f t="shared" si="225"/>
        <v>0</v>
      </c>
      <c r="AV183" s="171">
        <f t="shared" si="225"/>
        <v>0</v>
      </c>
      <c r="AW183" s="171">
        <f>SUM(AW177:AW182)</f>
        <v>37806.25</v>
      </c>
      <c r="AX183" s="171">
        <f>SUM(AX177:AX182)</f>
        <v>0</v>
      </c>
      <c r="AY183" s="619"/>
      <c r="AZ183" s="619"/>
      <c r="BA183" s="619"/>
    </row>
    <row r="184" spans="2:53" s="69" customFormat="1" ht="33">
      <c r="B184" s="660"/>
      <c r="C184" s="208" t="s">
        <v>1774</v>
      </c>
      <c r="D184" s="195"/>
      <c r="E184" s="181"/>
      <c r="F184" s="181"/>
      <c r="G184" s="171"/>
      <c r="H184" s="703"/>
      <c r="I184" s="171"/>
      <c r="J184" s="682"/>
      <c r="K184" s="181"/>
      <c r="L184" s="181"/>
      <c r="M184" s="682"/>
      <c r="N184" s="181"/>
      <c r="O184" s="682"/>
      <c r="P184" s="172"/>
      <c r="Q184" s="181"/>
      <c r="R184" s="171"/>
      <c r="S184" s="171"/>
      <c r="T184" s="171"/>
      <c r="U184" s="171"/>
      <c r="V184" s="693"/>
      <c r="W184" s="171"/>
      <c r="X184" s="693"/>
      <c r="Y184" s="693"/>
      <c r="Z184" s="171"/>
      <c r="AA184" s="171"/>
      <c r="AB184" s="171"/>
      <c r="AC184" s="196"/>
      <c r="AD184" s="196"/>
      <c r="AE184" s="196"/>
      <c r="AF184" s="196"/>
      <c r="AG184" s="196"/>
      <c r="AH184" s="196"/>
      <c r="AI184" s="191"/>
      <c r="AJ184" s="191"/>
      <c r="AK184" s="191"/>
      <c r="AL184" s="191"/>
      <c r="AM184" s="191"/>
      <c r="AN184" s="191"/>
      <c r="AO184" s="193"/>
      <c r="AP184" s="193"/>
      <c r="AQ184" s="193"/>
      <c r="AR184" s="193"/>
      <c r="AS184" s="193"/>
      <c r="AT184" s="197"/>
      <c r="AU184" s="197"/>
      <c r="AV184" s="191"/>
      <c r="AW184" s="236"/>
      <c r="AX184" s="236"/>
      <c r="AY184" s="619"/>
      <c r="AZ184" s="619"/>
      <c r="BA184" s="619"/>
    </row>
    <row r="185" spans="2:53" s="69" customFormat="1" ht="94.5">
      <c r="B185" s="660">
        <f>B182+1</f>
        <v>121</v>
      </c>
      <c r="C185" s="185" t="s">
        <v>1138</v>
      </c>
      <c r="D185" s="186"/>
      <c r="E185" s="660" t="s">
        <v>1143</v>
      </c>
      <c r="F185" s="660">
        <v>3</v>
      </c>
      <c r="G185" s="187">
        <v>3770</v>
      </c>
      <c r="H185" s="687"/>
      <c r="I185" s="187"/>
      <c r="J185" s="687"/>
      <c r="K185" s="187"/>
      <c r="L185" s="187"/>
      <c r="M185" s="687"/>
      <c r="N185" s="187"/>
      <c r="O185" s="688">
        <v>0.15</v>
      </c>
      <c r="P185" s="187">
        <f>G185*O185</f>
        <v>565.5</v>
      </c>
      <c r="Q185" s="194"/>
      <c r="R185" s="187">
        <f>G185+I185+K185+L185+N185+P185+Q185</f>
        <v>4335.5</v>
      </c>
      <c r="S185" s="187">
        <v>1</v>
      </c>
      <c r="T185" s="187"/>
      <c r="U185" s="187"/>
      <c r="V185" s="688">
        <v>0.1</v>
      </c>
      <c r="W185" s="187">
        <f>R185*V185</f>
        <v>433.55</v>
      </c>
      <c r="X185" s="674"/>
      <c r="Y185" s="688"/>
      <c r="Z185" s="187"/>
      <c r="AA185" s="187">
        <f>AH185</f>
        <v>3664.5</v>
      </c>
      <c r="AB185" s="187">
        <f>(R185+Z185+U185+W185)*S185+AA185</f>
        <v>8433.5499999999993</v>
      </c>
      <c r="AC185" s="689">
        <f>AF185</f>
        <v>0</v>
      </c>
      <c r="AD185" s="689">
        <f>AB185+AC185</f>
        <v>8433.5499999999993</v>
      </c>
      <c r="AE185" s="190">
        <f>AB185</f>
        <v>8433.5499999999993</v>
      </c>
      <c r="AF185" s="190">
        <f>AE185-AB185</f>
        <v>0</v>
      </c>
      <c r="AG185" s="689">
        <f>8000*S185</f>
        <v>8000</v>
      </c>
      <c r="AH185" s="190">
        <f>AG185-(R185*S185)</f>
        <v>3664.5</v>
      </c>
      <c r="AI185" s="191">
        <f>G185*S185</f>
        <v>3770</v>
      </c>
      <c r="AJ185" s="191">
        <f>G185*T185</f>
        <v>0</v>
      </c>
      <c r="AK185" s="191">
        <f>R185*S185</f>
        <v>4335.5</v>
      </c>
      <c r="AL185" s="191">
        <f>R185*T185</f>
        <v>0</v>
      </c>
      <c r="AM185" s="191">
        <f t="shared" ref="AM185:AN189" si="226">AK185-AI185</f>
        <v>565.5</v>
      </c>
      <c r="AN185" s="191">
        <f t="shared" si="226"/>
        <v>0</v>
      </c>
      <c r="AO185" s="193">
        <f>Z185*S185</f>
        <v>0</v>
      </c>
      <c r="AP185" s="193">
        <f>Z185*T185</f>
        <v>0</v>
      </c>
      <c r="AQ185" s="193">
        <f>AA185</f>
        <v>3664.5</v>
      </c>
      <c r="AR185" s="193">
        <f>W185*S185</f>
        <v>433.55</v>
      </c>
      <c r="AS185" s="193">
        <f>W185*T185</f>
        <v>0</v>
      </c>
      <c r="AT185" s="197">
        <f t="shared" si="199"/>
        <v>4335.5</v>
      </c>
      <c r="AU185" s="197">
        <f t="shared" si="199"/>
        <v>0</v>
      </c>
      <c r="AV185" s="191"/>
      <c r="AW185" s="236">
        <f>R185*S185</f>
        <v>4335.5</v>
      </c>
      <c r="AX185" s="236"/>
      <c r="AY185" s="619"/>
      <c r="AZ185" s="619"/>
      <c r="BA185" s="619"/>
    </row>
    <row r="186" spans="2:53" s="69" customFormat="1" ht="94.5">
      <c r="B186" s="660">
        <f>1+B185</f>
        <v>122</v>
      </c>
      <c r="C186" s="185" t="s">
        <v>1138</v>
      </c>
      <c r="D186" s="186"/>
      <c r="E186" s="660" t="s">
        <v>1667</v>
      </c>
      <c r="F186" s="660">
        <v>3</v>
      </c>
      <c r="G186" s="187">
        <v>3770</v>
      </c>
      <c r="H186" s="687"/>
      <c r="I186" s="187"/>
      <c r="J186" s="688"/>
      <c r="K186" s="189"/>
      <c r="L186" s="189"/>
      <c r="M186" s="687"/>
      <c r="N186" s="187"/>
      <c r="O186" s="688">
        <v>0.15</v>
      </c>
      <c r="P186" s="187">
        <f>G186*O186</f>
        <v>565.5</v>
      </c>
      <c r="Q186" s="194"/>
      <c r="R186" s="187">
        <f>G186+I186+K186+L186+N186+P186+Q186</f>
        <v>4335.5</v>
      </c>
      <c r="S186" s="187">
        <v>1</v>
      </c>
      <c r="T186" s="187"/>
      <c r="U186" s="187"/>
      <c r="V186" s="688">
        <v>0.1</v>
      </c>
      <c r="W186" s="187">
        <f>R186*V186</f>
        <v>433.55</v>
      </c>
      <c r="X186" s="674"/>
      <c r="Y186" s="688"/>
      <c r="Z186" s="187"/>
      <c r="AA186" s="187">
        <f>AH186</f>
        <v>3664.5</v>
      </c>
      <c r="AB186" s="187">
        <f>(R186+Z186+U186+W186)*S186+AA186</f>
        <v>8433.5499999999993</v>
      </c>
      <c r="AC186" s="689">
        <f>AF186</f>
        <v>0</v>
      </c>
      <c r="AD186" s="689">
        <f>AB186+AC186</f>
        <v>8433.5499999999993</v>
      </c>
      <c r="AE186" s="190">
        <f>AB186</f>
        <v>8433.5499999999993</v>
      </c>
      <c r="AF186" s="190">
        <f>AE186-AB186</f>
        <v>0</v>
      </c>
      <c r="AG186" s="689">
        <f>8000*S186</f>
        <v>8000</v>
      </c>
      <c r="AH186" s="190">
        <f>AG186-(R186*S186)</f>
        <v>3664.5</v>
      </c>
      <c r="AI186" s="191">
        <f>G186*S186</f>
        <v>3770</v>
      </c>
      <c r="AJ186" s="191">
        <f>G186*T186</f>
        <v>0</v>
      </c>
      <c r="AK186" s="191">
        <f>R186*S186</f>
        <v>4335.5</v>
      </c>
      <c r="AL186" s="191">
        <f>R186*T186</f>
        <v>0</v>
      </c>
      <c r="AM186" s="191">
        <f t="shared" si="226"/>
        <v>565.5</v>
      </c>
      <c r="AN186" s="191">
        <f t="shared" si="226"/>
        <v>0</v>
      </c>
      <c r="AO186" s="193">
        <f>Z186*S186</f>
        <v>0</v>
      </c>
      <c r="AP186" s="193">
        <f>Z186*T186</f>
        <v>0</v>
      </c>
      <c r="AQ186" s="193">
        <f>AA186</f>
        <v>3664.5</v>
      </c>
      <c r="AR186" s="193">
        <f>W186*S186</f>
        <v>433.55</v>
      </c>
      <c r="AS186" s="193">
        <f>W186*T186</f>
        <v>0</v>
      </c>
      <c r="AT186" s="197">
        <f t="shared" si="199"/>
        <v>4335.5</v>
      </c>
      <c r="AU186" s="197">
        <f t="shared" si="199"/>
        <v>0</v>
      </c>
      <c r="AV186" s="191"/>
      <c r="AW186" s="236">
        <f>R186*S186</f>
        <v>4335.5</v>
      </c>
      <c r="AX186" s="236"/>
      <c r="AY186" s="619"/>
      <c r="AZ186" s="619"/>
      <c r="BA186" s="619"/>
    </row>
    <row r="187" spans="2:53" s="69" customFormat="1" ht="94.5">
      <c r="B187" s="660">
        <f>1+B186</f>
        <v>123</v>
      </c>
      <c r="C187" s="185" t="s">
        <v>1138</v>
      </c>
      <c r="D187" s="186"/>
      <c r="E187" s="660" t="s">
        <v>1144</v>
      </c>
      <c r="F187" s="660">
        <v>3</v>
      </c>
      <c r="G187" s="187">
        <v>3770</v>
      </c>
      <c r="H187" s="687"/>
      <c r="I187" s="187"/>
      <c r="J187" s="688"/>
      <c r="K187" s="189"/>
      <c r="L187" s="189"/>
      <c r="M187" s="687"/>
      <c r="N187" s="187"/>
      <c r="O187" s="688">
        <v>0.15</v>
      </c>
      <c r="P187" s="187">
        <f>G187*O187</f>
        <v>565.5</v>
      </c>
      <c r="Q187" s="194"/>
      <c r="R187" s="187">
        <f>G187+I187+K187+L187+N187+P187+Q187</f>
        <v>4335.5</v>
      </c>
      <c r="S187" s="187">
        <v>1</v>
      </c>
      <c r="T187" s="187"/>
      <c r="U187" s="187"/>
      <c r="V187" s="688">
        <v>0.1</v>
      </c>
      <c r="W187" s="187">
        <f>R187*V187</f>
        <v>433.55</v>
      </c>
      <c r="X187" s="674"/>
      <c r="Y187" s="688"/>
      <c r="Z187" s="187"/>
      <c r="AA187" s="187">
        <f>AH187</f>
        <v>3664.5</v>
      </c>
      <c r="AB187" s="187">
        <f>(R187+Z187+U187+W187)*S187+AA187</f>
        <v>8433.5499999999993</v>
      </c>
      <c r="AC187" s="689">
        <f>AF187</f>
        <v>0</v>
      </c>
      <c r="AD187" s="689">
        <f>AB187+AC187</f>
        <v>8433.5499999999993</v>
      </c>
      <c r="AE187" s="190">
        <f>AB187</f>
        <v>8433.5499999999993</v>
      </c>
      <c r="AF187" s="190">
        <f>AE187-AB187</f>
        <v>0</v>
      </c>
      <c r="AG187" s="689">
        <f>8000*S187</f>
        <v>8000</v>
      </c>
      <c r="AH187" s="190">
        <f>AG187-(R187*S187)</f>
        <v>3664.5</v>
      </c>
      <c r="AI187" s="191">
        <f>G187*S187</f>
        <v>3770</v>
      </c>
      <c r="AJ187" s="191">
        <f>G187*T187</f>
        <v>0</v>
      </c>
      <c r="AK187" s="191">
        <f>R187*S187</f>
        <v>4335.5</v>
      </c>
      <c r="AL187" s="191">
        <f>R187*T187</f>
        <v>0</v>
      </c>
      <c r="AM187" s="191">
        <f t="shared" si="226"/>
        <v>565.5</v>
      </c>
      <c r="AN187" s="191">
        <f t="shared" si="226"/>
        <v>0</v>
      </c>
      <c r="AO187" s="193">
        <f>Z187*S187</f>
        <v>0</v>
      </c>
      <c r="AP187" s="193">
        <f>Z187*T187</f>
        <v>0</v>
      </c>
      <c r="AQ187" s="193">
        <f>AA187</f>
        <v>3664.5</v>
      </c>
      <c r="AR187" s="193">
        <f>W187*S187</f>
        <v>433.55</v>
      </c>
      <c r="AS187" s="193">
        <f>W187*T187</f>
        <v>0</v>
      </c>
      <c r="AT187" s="197">
        <f t="shared" si="199"/>
        <v>4335.5</v>
      </c>
      <c r="AU187" s="197">
        <f t="shared" si="199"/>
        <v>0</v>
      </c>
      <c r="AV187" s="191"/>
      <c r="AW187" s="236">
        <f>R187*S187</f>
        <v>4335.5</v>
      </c>
      <c r="AX187" s="236"/>
      <c r="AY187" s="619"/>
      <c r="AZ187" s="619"/>
      <c r="BA187" s="619"/>
    </row>
    <row r="188" spans="2:53" s="69" customFormat="1" ht="94.5">
      <c r="B188" s="660">
        <f>1+B187</f>
        <v>124</v>
      </c>
      <c r="C188" s="185" t="s">
        <v>1138</v>
      </c>
      <c r="D188" s="186"/>
      <c r="E188" s="660" t="s">
        <v>1147</v>
      </c>
      <c r="F188" s="660">
        <v>3</v>
      </c>
      <c r="G188" s="187">
        <v>3770</v>
      </c>
      <c r="H188" s="687"/>
      <c r="I188" s="187"/>
      <c r="J188" s="688"/>
      <c r="K188" s="189"/>
      <c r="L188" s="189"/>
      <c r="M188" s="687"/>
      <c r="N188" s="187"/>
      <c r="O188" s="688">
        <v>0.15</v>
      </c>
      <c r="P188" s="187">
        <f>G188*O188</f>
        <v>565.5</v>
      </c>
      <c r="Q188" s="194"/>
      <c r="R188" s="187">
        <f>G188+I188+K188+L188+N188+P188+Q188</f>
        <v>4335.5</v>
      </c>
      <c r="S188" s="187">
        <v>1</v>
      </c>
      <c r="T188" s="187"/>
      <c r="U188" s="187"/>
      <c r="V188" s="688">
        <v>0.1</v>
      </c>
      <c r="W188" s="187">
        <f>R188*V188</f>
        <v>433.55</v>
      </c>
      <c r="X188" s="674"/>
      <c r="Y188" s="688"/>
      <c r="Z188" s="187"/>
      <c r="AA188" s="187">
        <f>AH188</f>
        <v>3664.5</v>
      </c>
      <c r="AB188" s="187">
        <f>(R188+Z188+U188+W188)*S188+AA188</f>
        <v>8433.5499999999993</v>
      </c>
      <c r="AC188" s="689">
        <f>AF188</f>
        <v>0</v>
      </c>
      <c r="AD188" s="689">
        <f>AB188+AC188</f>
        <v>8433.5499999999993</v>
      </c>
      <c r="AE188" s="190">
        <f>AB188</f>
        <v>8433.5499999999993</v>
      </c>
      <c r="AF188" s="190">
        <f>AE188-AB188</f>
        <v>0</v>
      </c>
      <c r="AG188" s="689">
        <f>8000*S188</f>
        <v>8000</v>
      </c>
      <c r="AH188" s="190">
        <f>AG188-(R188*S188)</f>
        <v>3664.5</v>
      </c>
      <c r="AI188" s="191">
        <f>G188*S188</f>
        <v>3770</v>
      </c>
      <c r="AJ188" s="191">
        <f>G188*T188</f>
        <v>0</v>
      </c>
      <c r="AK188" s="191">
        <f>R188*S188</f>
        <v>4335.5</v>
      </c>
      <c r="AL188" s="191">
        <f>R188*T188</f>
        <v>0</v>
      </c>
      <c r="AM188" s="191">
        <f t="shared" si="226"/>
        <v>565.5</v>
      </c>
      <c r="AN188" s="191">
        <f t="shared" si="226"/>
        <v>0</v>
      </c>
      <c r="AO188" s="193">
        <f>Z188*S188</f>
        <v>0</v>
      </c>
      <c r="AP188" s="193">
        <f>Z188*T188</f>
        <v>0</v>
      </c>
      <c r="AQ188" s="193">
        <f>AA188</f>
        <v>3664.5</v>
      </c>
      <c r="AR188" s="193">
        <f>W188*S188</f>
        <v>433.55</v>
      </c>
      <c r="AS188" s="193">
        <f>W188*T188</f>
        <v>0</v>
      </c>
      <c r="AT188" s="197">
        <f t="shared" si="199"/>
        <v>4335.5</v>
      </c>
      <c r="AU188" s="197">
        <f t="shared" si="199"/>
        <v>0</v>
      </c>
      <c r="AV188" s="191"/>
      <c r="AW188" s="236">
        <f>R188*S188</f>
        <v>4335.5</v>
      </c>
      <c r="AX188" s="236"/>
      <c r="AY188" s="619"/>
      <c r="AZ188" s="619"/>
      <c r="BA188" s="619"/>
    </row>
    <row r="189" spans="2:53" s="69" customFormat="1" ht="94.5">
      <c r="B189" s="660">
        <f>1+B188</f>
        <v>125</v>
      </c>
      <c r="C189" s="185" t="s">
        <v>1138</v>
      </c>
      <c r="D189" s="186"/>
      <c r="E189" s="660" t="s">
        <v>1148</v>
      </c>
      <c r="F189" s="660">
        <v>3</v>
      </c>
      <c r="G189" s="187">
        <v>3770</v>
      </c>
      <c r="H189" s="687"/>
      <c r="I189" s="187"/>
      <c r="J189" s="688"/>
      <c r="K189" s="189"/>
      <c r="L189" s="189"/>
      <c r="M189" s="687"/>
      <c r="N189" s="187"/>
      <c r="O189" s="688">
        <v>0.15</v>
      </c>
      <c r="P189" s="187">
        <f>G189*O189</f>
        <v>565.5</v>
      </c>
      <c r="Q189" s="194"/>
      <c r="R189" s="187">
        <f>G189+I189+K189+L189+N189+P189+Q189</f>
        <v>4335.5</v>
      </c>
      <c r="S189" s="187">
        <v>1</v>
      </c>
      <c r="T189" s="187"/>
      <c r="U189" s="187"/>
      <c r="V189" s="688">
        <v>0.1</v>
      </c>
      <c r="W189" s="187">
        <f>R189*V189</f>
        <v>433.55</v>
      </c>
      <c r="X189" s="674"/>
      <c r="Y189" s="688"/>
      <c r="Z189" s="187"/>
      <c r="AA189" s="187">
        <f>AH189</f>
        <v>3664.5</v>
      </c>
      <c r="AB189" s="187">
        <f>(R189+Z189+U189+W189)*S189+AA189</f>
        <v>8433.5499999999993</v>
      </c>
      <c r="AC189" s="689">
        <f>AF189</f>
        <v>0</v>
      </c>
      <c r="AD189" s="689">
        <f>AB189+AC189</f>
        <v>8433.5499999999993</v>
      </c>
      <c r="AE189" s="190">
        <f>AB189</f>
        <v>8433.5499999999993</v>
      </c>
      <c r="AF189" s="190">
        <f>AE189-AB189</f>
        <v>0</v>
      </c>
      <c r="AG189" s="689">
        <f>8000*S189</f>
        <v>8000</v>
      </c>
      <c r="AH189" s="190">
        <f>AG189-(R189*S189)</f>
        <v>3664.5</v>
      </c>
      <c r="AI189" s="191">
        <f>G189*S189</f>
        <v>3770</v>
      </c>
      <c r="AJ189" s="191">
        <f>G189*T189</f>
        <v>0</v>
      </c>
      <c r="AK189" s="191">
        <f>R189*S189</f>
        <v>4335.5</v>
      </c>
      <c r="AL189" s="191">
        <f>R189*T189</f>
        <v>0</v>
      </c>
      <c r="AM189" s="191">
        <f t="shared" si="226"/>
        <v>565.5</v>
      </c>
      <c r="AN189" s="191">
        <f t="shared" si="226"/>
        <v>0</v>
      </c>
      <c r="AO189" s="193">
        <f>Z189*S189</f>
        <v>0</v>
      </c>
      <c r="AP189" s="193">
        <f>Z189*T189</f>
        <v>0</v>
      </c>
      <c r="AQ189" s="193">
        <f>AA189</f>
        <v>3664.5</v>
      </c>
      <c r="AR189" s="193">
        <f>W189*S189</f>
        <v>433.55</v>
      </c>
      <c r="AS189" s="193">
        <f>W189*T189</f>
        <v>0</v>
      </c>
      <c r="AT189" s="197">
        <f t="shared" si="199"/>
        <v>4335.5</v>
      </c>
      <c r="AU189" s="197">
        <f t="shared" si="199"/>
        <v>0</v>
      </c>
      <c r="AV189" s="191"/>
      <c r="AW189" s="236">
        <f>R189*S189</f>
        <v>4335.5</v>
      </c>
      <c r="AX189" s="236"/>
      <c r="AY189" s="619"/>
      <c r="AZ189" s="619"/>
      <c r="BA189" s="619"/>
    </row>
    <row r="190" spans="2:53" s="69" customFormat="1" ht="31.5">
      <c r="B190" s="660"/>
      <c r="C190" s="168" t="s">
        <v>1662</v>
      </c>
      <c r="D190" s="195"/>
      <c r="E190" s="181"/>
      <c r="F190" s="181"/>
      <c r="G190" s="171">
        <f>SUM(G185:G189)</f>
        <v>18850</v>
      </c>
      <c r="H190" s="682"/>
      <c r="I190" s="181"/>
      <c r="J190" s="682"/>
      <c r="K190" s="181"/>
      <c r="L190" s="181"/>
      <c r="M190" s="682"/>
      <c r="N190" s="181"/>
      <c r="O190" s="682"/>
      <c r="P190" s="172">
        <f>SUM(P185:P189)</f>
        <v>2827.5</v>
      </c>
      <c r="Q190" s="171"/>
      <c r="R190" s="171">
        <f>SUM(R185:R189)</f>
        <v>21677.5</v>
      </c>
      <c r="S190" s="171">
        <f>SUM(S185:S189)</f>
        <v>5</v>
      </c>
      <c r="T190" s="171">
        <f>SUM(T185:T189)</f>
        <v>0</v>
      </c>
      <c r="U190" s="173">
        <f>SUM(U185:U189)</f>
        <v>0</v>
      </c>
      <c r="V190" s="693"/>
      <c r="W190" s="171">
        <f>SUM(W185:W189)</f>
        <v>2167.75</v>
      </c>
      <c r="X190" s="693"/>
      <c r="Y190" s="693"/>
      <c r="Z190" s="171">
        <f>SUM(Z185:Z189)</f>
        <v>0</v>
      </c>
      <c r="AA190" s="171">
        <f>SUM(AA185:AA189)</f>
        <v>18322.5</v>
      </c>
      <c r="AB190" s="171">
        <f>SUM(AB185:AB189)</f>
        <v>42167.75</v>
      </c>
      <c r="AC190" s="171">
        <f>SUM(AC185:AC189)</f>
        <v>0</v>
      </c>
      <c r="AD190" s="171">
        <f>SUM(AD185:AD189)</f>
        <v>42167.75</v>
      </c>
      <c r="AE190" s="171">
        <f t="shared" ref="AE190:AV190" si="227">SUM(AE185:AE189)</f>
        <v>42167.75</v>
      </c>
      <c r="AF190" s="171">
        <f t="shared" si="227"/>
        <v>0</v>
      </c>
      <c r="AG190" s="171">
        <f>SUM(AG185:AG189)</f>
        <v>40000</v>
      </c>
      <c r="AH190" s="171">
        <f t="shared" si="227"/>
        <v>18322.5</v>
      </c>
      <c r="AI190" s="171">
        <f t="shared" si="227"/>
        <v>18850</v>
      </c>
      <c r="AJ190" s="171">
        <f t="shared" si="227"/>
        <v>0</v>
      </c>
      <c r="AK190" s="171">
        <f t="shared" si="227"/>
        <v>21677.5</v>
      </c>
      <c r="AL190" s="171">
        <f t="shared" si="227"/>
        <v>0</v>
      </c>
      <c r="AM190" s="171">
        <f t="shared" si="227"/>
        <v>2827.5</v>
      </c>
      <c r="AN190" s="171">
        <f t="shared" si="227"/>
        <v>0</v>
      </c>
      <c r="AO190" s="171">
        <f t="shared" si="227"/>
        <v>0</v>
      </c>
      <c r="AP190" s="171">
        <f t="shared" si="227"/>
        <v>0</v>
      </c>
      <c r="AQ190" s="171">
        <f t="shared" si="227"/>
        <v>18322.5</v>
      </c>
      <c r="AR190" s="171">
        <f t="shared" si="227"/>
        <v>2167.75</v>
      </c>
      <c r="AS190" s="171">
        <f t="shared" si="227"/>
        <v>0</v>
      </c>
      <c r="AT190" s="171">
        <f t="shared" si="227"/>
        <v>21677.5</v>
      </c>
      <c r="AU190" s="171">
        <f t="shared" si="227"/>
        <v>0</v>
      </c>
      <c r="AV190" s="171">
        <f t="shared" si="227"/>
        <v>0</v>
      </c>
      <c r="AW190" s="171">
        <f>SUM(AW185:AW189)</f>
        <v>21677.5</v>
      </c>
      <c r="AX190" s="171">
        <f>SUM(AX185:AX189)</f>
        <v>0</v>
      </c>
      <c r="AY190" s="619"/>
      <c r="AZ190" s="619"/>
      <c r="BA190" s="619"/>
    </row>
    <row r="191" spans="2:53" s="69" customFormat="1" ht="31.5">
      <c r="B191" s="660"/>
      <c r="C191" s="168" t="s">
        <v>1223</v>
      </c>
      <c r="D191" s="195"/>
      <c r="E191" s="182"/>
      <c r="F191" s="181"/>
      <c r="G191" s="173">
        <f>G175+G183+G190</f>
        <v>58978</v>
      </c>
      <c r="H191" s="704"/>
      <c r="I191" s="173"/>
      <c r="J191" s="704"/>
      <c r="K191" s="173"/>
      <c r="L191" s="173"/>
      <c r="M191" s="704"/>
      <c r="N191" s="173"/>
      <c r="O191" s="704"/>
      <c r="P191" s="173">
        <f t="shared" ref="P191:AV191" si="228">P175+P183+P190</f>
        <v>8846.7000000000007</v>
      </c>
      <c r="Q191" s="173"/>
      <c r="R191" s="173">
        <f t="shared" si="228"/>
        <v>67824.7</v>
      </c>
      <c r="S191" s="171">
        <f t="shared" si="228"/>
        <v>11.75</v>
      </c>
      <c r="T191" s="171">
        <f t="shared" si="228"/>
        <v>0</v>
      </c>
      <c r="U191" s="173"/>
      <c r="V191" s="704"/>
      <c r="W191" s="173">
        <f t="shared" si="228"/>
        <v>2167.75</v>
      </c>
      <c r="X191" s="704"/>
      <c r="Y191" s="704"/>
      <c r="Z191" s="173">
        <f>Z175+Z183+Z190</f>
        <v>13241.560000000001</v>
      </c>
      <c r="AA191" s="173">
        <f t="shared" si="228"/>
        <v>19091.3</v>
      </c>
      <c r="AB191" s="173">
        <f t="shared" si="228"/>
        <v>99614.501250000001</v>
      </c>
      <c r="AC191" s="173">
        <f t="shared" si="228"/>
        <v>38553.248749999999</v>
      </c>
      <c r="AD191" s="173">
        <f>AD175+AD183+AD190</f>
        <v>138167.75</v>
      </c>
      <c r="AE191" s="173">
        <f t="shared" si="228"/>
        <v>138167.75</v>
      </c>
      <c r="AF191" s="173">
        <f t="shared" si="228"/>
        <v>38553.248749999999</v>
      </c>
      <c r="AG191" s="173">
        <f>AG175+AG183+AG190</f>
        <v>94000</v>
      </c>
      <c r="AH191" s="173">
        <f t="shared" si="228"/>
        <v>17521.262500000001</v>
      </c>
      <c r="AI191" s="173">
        <f t="shared" si="228"/>
        <v>57164.75</v>
      </c>
      <c r="AJ191" s="173">
        <f t="shared" si="228"/>
        <v>0</v>
      </c>
      <c r="AK191" s="173">
        <f t="shared" si="228"/>
        <v>65739.462499999994</v>
      </c>
      <c r="AL191" s="173">
        <f t="shared" si="228"/>
        <v>0</v>
      </c>
      <c r="AM191" s="173">
        <f t="shared" si="228"/>
        <v>8574.7125000000015</v>
      </c>
      <c r="AN191" s="173">
        <f t="shared" si="228"/>
        <v>0</v>
      </c>
      <c r="AO191" s="173">
        <f t="shared" si="228"/>
        <v>12615.988750000002</v>
      </c>
      <c r="AP191" s="173">
        <f t="shared" si="228"/>
        <v>0</v>
      </c>
      <c r="AQ191" s="173">
        <f t="shared" si="228"/>
        <v>19091.3</v>
      </c>
      <c r="AR191" s="173">
        <f t="shared" si="228"/>
        <v>2167.75</v>
      </c>
      <c r="AS191" s="173">
        <f t="shared" si="228"/>
        <v>0</v>
      </c>
      <c r="AT191" s="173">
        <f t="shared" si="228"/>
        <v>65739.462499999994</v>
      </c>
      <c r="AU191" s="173">
        <f t="shared" si="228"/>
        <v>0</v>
      </c>
      <c r="AV191" s="173">
        <f t="shared" si="228"/>
        <v>0</v>
      </c>
      <c r="AW191" s="173">
        <f>AW175+AW183+AW190</f>
        <v>65739.462499999994</v>
      </c>
      <c r="AX191" s="173">
        <f>AX175+AX183+AX190</f>
        <v>0</v>
      </c>
      <c r="AY191" s="619"/>
      <c r="AZ191" s="619"/>
      <c r="BA191" s="619"/>
    </row>
    <row r="192" spans="2:53" s="69" customFormat="1" ht="33">
      <c r="B192" s="660"/>
      <c r="C192" s="179" t="s">
        <v>1690</v>
      </c>
      <c r="D192" s="180"/>
      <c r="E192" s="181"/>
      <c r="F192" s="181"/>
      <c r="G192" s="181"/>
      <c r="H192" s="682"/>
      <c r="I192" s="181"/>
      <c r="J192" s="682"/>
      <c r="K192" s="181"/>
      <c r="L192" s="181"/>
      <c r="M192" s="682"/>
      <c r="N192" s="181"/>
      <c r="O192" s="682"/>
      <c r="P192" s="181"/>
      <c r="Q192" s="181"/>
      <c r="R192" s="181"/>
      <c r="S192" s="181"/>
      <c r="T192" s="181"/>
      <c r="U192" s="181"/>
      <c r="V192" s="683"/>
      <c r="W192" s="181"/>
      <c r="X192" s="683"/>
      <c r="Y192" s="683"/>
      <c r="Z192" s="181"/>
      <c r="AA192" s="181"/>
      <c r="AB192" s="181"/>
      <c r="AC192" s="183"/>
      <c r="AD192" s="183"/>
      <c r="AE192" s="183"/>
      <c r="AF192" s="183"/>
      <c r="AG192" s="183"/>
      <c r="AH192" s="183"/>
      <c r="AI192" s="191">
        <f>G192*S192</f>
        <v>0</v>
      </c>
      <c r="AJ192" s="191">
        <f>G192*T192</f>
        <v>0</v>
      </c>
      <c r="AK192" s="191">
        <f>R192*S192</f>
        <v>0</v>
      </c>
      <c r="AL192" s="191">
        <f>R192*T192</f>
        <v>0</v>
      </c>
      <c r="AM192" s="191">
        <f t="shared" ref="AM192:AN195" si="229">AK192-AI192</f>
        <v>0</v>
      </c>
      <c r="AN192" s="191">
        <f t="shared" si="229"/>
        <v>0</v>
      </c>
      <c r="AO192" s="193">
        <f>Z192*S192</f>
        <v>0</v>
      </c>
      <c r="AP192" s="193">
        <f>Z192*T192</f>
        <v>0</v>
      </c>
      <c r="AQ192" s="193">
        <f>AA192</f>
        <v>0</v>
      </c>
      <c r="AR192" s="193">
        <f>W192*S192</f>
        <v>0</v>
      </c>
      <c r="AS192" s="193">
        <f>W192*T192</f>
        <v>0</v>
      </c>
      <c r="AT192" s="197"/>
      <c r="AU192" s="197"/>
      <c r="AV192" s="191"/>
      <c r="AW192" s="236"/>
      <c r="AX192" s="236"/>
      <c r="AY192" s="619"/>
      <c r="AZ192" s="619"/>
      <c r="BA192" s="619"/>
    </row>
    <row r="193" spans="2:53" s="69" customFormat="1" ht="33">
      <c r="B193" s="660"/>
      <c r="C193" s="208" t="s">
        <v>1309</v>
      </c>
      <c r="D193" s="205"/>
      <c r="E193" s="206"/>
      <c r="F193" s="206"/>
      <c r="G193" s="206"/>
      <c r="H193" s="696"/>
      <c r="I193" s="206"/>
      <c r="J193" s="696"/>
      <c r="K193" s="206"/>
      <c r="L193" s="206"/>
      <c r="M193" s="696"/>
      <c r="N193" s="206"/>
      <c r="O193" s="696"/>
      <c r="P193" s="206"/>
      <c r="Q193" s="206"/>
      <c r="R193" s="206"/>
      <c r="S193" s="206"/>
      <c r="T193" s="206"/>
      <c r="U193" s="206"/>
      <c r="V193" s="697"/>
      <c r="W193" s="206"/>
      <c r="X193" s="697"/>
      <c r="Y193" s="697"/>
      <c r="Z193" s="206"/>
      <c r="AA193" s="206"/>
      <c r="AB193" s="206"/>
      <c r="AC193" s="207"/>
      <c r="AD193" s="207"/>
      <c r="AE193" s="207"/>
      <c r="AF193" s="207"/>
      <c r="AG193" s="207"/>
      <c r="AH193" s="207"/>
      <c r="AI193" s="191">
        <f>G193*S193</f>
        <v>0</v>
      </c>
      <c r="AJ193" s="191">
        <f>G193*T193</f>
        <v>0</v>
      </c>
      <c r="AK193" s="191">
        <f>R193*S193</f>
        <v>0</v>
      </c>
      <c r="AL193" s="191">
        <f>R193*T193</f>
        <v>0</v>
      </c>
      <c r="AM193" s="191">
        <f t="shared" si="229"/>
        <v>0</v>
      </c>
      <c r="AN193" s="191">
        <f t="shared" si="229"/>
        <v>0</v>
      </c>
      <c r="AO193" s="193">
        <f>Z193*S193</f>
        <v>0</v>
      </c>
      <c r="AP193" s="193">
        <f>Z193*T193</f>
        <v>0</v>
      </c>
      <c r="AQ193" s="193">
        <f>AA193</f>
        <v>0</v>
      </c>
      <c r="AR193" s="193">
        <f>W193*S193</f>
        <v>0</v>
      </c>
      <c r="AS193" s="193">
        <f>W193*T193</f>
        <v>0</v>
      </c>
      <c r="AT193" s="197"/>
      <c r="AU193" s="197"/>
      <c r="AV193" s="191"/>
      <c r="AW193" s="236"/>
      <c r="AX193" s="236"/>
      <c r="AY193" s="619"/>
      <c r="AZ193" s="619"/>
      <c r="BA193" s="619"/>
    </row>
    <row r="194" spans="2:53" s="69" customFormat="1" ht="58.5">
      <c r="B194" s="660">
        <f>B189+1</f>
        <v>126</v>
      </c>
      <c r="C194" s="185" t="s">
        <v>260</v>
      </c>
      <c r="D194" s="186" t="s">
        <v>261</v>
      </c>
      <c r="E194" s="660" t="s">
        <v>1009</v>
      </c>
      <c r="F194" s="660">
        <v>13</v>
      </c>
      <c r="G194" s="187">
        <v>7253</v>
      </c>
      <c r="H194" s="688">
        <v>0.1</v>
      </c>
      <c r="I194" s="187">
        <f>G194*H194</f>
        <v>725.30000000000007</v>
      </c>
      <c r="J194" s="674"/>
      <c r="K194" s="660"/>
      <c r="L194" s="660"/>
      <c r="M194" s="674"/>
      <c r="N194" s="181"/>
      <c r="O194" s="674"/>
      <c r="P194" s="660"/>
      <c r="Q194" s="660"/>
      <c r="R194" s="187">
        <f>G194+I194+K194+L194+N194+P194+Q194</f>
        <v>7978.3</v>
      </c>
      <c r="S194" s="187">
        <v>1</v>
      </c>
      <c r="T194" s="187"/>
      <c r="U194" s="187"/>
      <c r="V194" s="687"/>
      <c r="W194" s="187"/>
      <c r="X194" s="674">
        <v>34</v>
      </c>
      <c r="Y194" s="688">
        <v>0.3</v>
      </c>
      <c r="Z194" s="187">
        <f>R194*Y194</f>
        <v>2393.4899999999998</v>
      </c>
      <c r="AA194" s="187"/>
      <c r="AB194" s="187">
        <f>(R194+Z194)*S194+AA194</f>
        <v>10371.790000000001</v>
      </c>
      <c r="AC194" s="689">
        <f>AF194</f>
        <v>9628.2099999999991</v>
      </c>
      <c r="AD194" s="689">
        <f>AB194+AC194</f>
        <v>20000</v>
      </c>
      <c r="AE194" s="190">
        <f>20000*S194</f>
        <v>20000</v>
      </c>
      <c r="AF194" s="190">
        <f>AE194-AB194</f>
        <v>9628.2099999999991</v>
      </c>
      <c r="AG194" s="689">
        <f>8000*S194</f>
        <v>8000</v>
      </c>
      <c r="AH194" s="190">
        <f>AG194-(R194+Z194)*S194</f>
        <v>-2371.7900000000009</v>
      </c>
      <c r="AI194" s="191">
        <f>G194*S194</f>
        <v>7253</v>
      </c>
      <c r="AJ194" s="191">
        <f>G194*T194</f>
        <v>0</v>
      </c>
      <c r="AK194" s="191">
        <f>R194*S194</f>
        <v>7978.3</v>
      </c>
      <c r="AL194" s="191">
        <f>R194*T194</f>
        <v>0</v>
      </c>
      <c r="AM194" s="191">
        <f t="shared" si="229"/>
        <v>725.30000000000018</v>
      </c>
      <c r="AN194" s="191">
        <f t="shared" si="229"/>
        <v>0</v>
      </c>
      <c r="AO194" s="193">
        <f>Z194*S194</f>
        <v>2393.4899999999998</v>
      </c>
      <c r="AP194" s="193">
        <f>Z194*T194</f>
        <v>0</v>
      </c>
      <c r="AQ194" s="193">
        <f>AA194</f>
        <v>0</v>
      </c>
      <c r="AR194" s="193">
        <f>W194*S194</f>
        <v>0</v>
      </c>
      <c r="AS194" s="193">
        <f>W194*T194</f>
        <v>0</v>
      </c>
      <c r="AT194" s="197">
        <f t="shared" si="199"/>
        <v>7978.3</v>
      </c>
      <c r="AU194" s="197">
        <f t="shared" si="199"/>
        <v>0</v>
      </c>
      <c r="AV194" s="191"/>
      <c r="AW194" s="236">
        <f>R194*S194</f>
        <v>7978.3</v>
      </c>
      <c r="AX194" s="236"/>
      <c r="AY194" s="619"/>
      <c r="AZ194" s="619"/>
      <c r="BA194" s="619"/>
    </row>
    <row r="195" spans="2:53" s="69" customFormat="1" ht="58.5">
      <c r="B195" s="660">
        <f>1+B194</f>
        <v>127</v>
      </c>
      <c r="C195" s="185" t="s">
        <v>1010</v>
      </c>
      <c r="D195" s="186" t="s">
        <v>261</v>
      </c>
      <c r="E195" s="660" t="s">
        <v>1675</v>
      </c>
      <c r="F195" s="660">
        <v>13</v>
      </c>
      <c r="G195" s="187">
        <v>7253</v>
      </c>
      <c r="H195" s="674"/>
      <c r="I195" s="187"/>
      <c r="J195" s="674"/>
      <c r="K195" s="660"/>
      <c r="L195" s="660"/>
      <c r="M195" s="674"/>
      <c r="N195" s="660"/>
      <c r="O195" s="674"/>
      <c r="P195" s="660"/>
      <c r="Q195" s="660"/>
      <c r="R195" s="187">
        <f>G195+I195+K195+L195+N195+P195+Q195</f>
        <v>7253</v>
      </c>
      <c r="S195" s="187">
        <v>1</v>
      </c>
      <c r="T195" s="187"/>
      <c r="U195" s="660"/>
      <c r="V195" s="674"/>
      <c r="W195" s="660"/>
      <c r="X195" s="674">
        <v>29</v>
      </c>
      <c r="Y195" s="688">
        <v>0.3</v>
      </c>
      <c r="Z195" s="187">
        <f>R195*Y195</f>
        <v>2175.9</v>
      </c>
      <c r="AA195" s="187"/>
      <c r="AB195" s="187">
        <f>(R195+Z195)*S195+AA195</f>
        <v>9428.9</v>
      </c>
      <c r="AC195" s="689">
        <f>AF195</f>
        <v>10571.1</v>
      </c>
      <c r="AD195" s="689">
        <f>AB195+AC195</f>
        <v>20000</v>
      </c>
      <c r="AE195" s="190">
        <f>20000*S195</f>
        <v>20000</v>
      </c>
      <c r="AF195" s="190">
        <f>AE195-AB195</f>
        <v>10571.1</v>
      </c>
      <c r="AG195" s="689">
        <f>8000*S195</f>
        <v>8000</v>
      </c>
      <c r="AH195" s="190">
        <f>AG195-(R195+Z195)*S195</f>
        <v>-1428.8999999999996</v>
      </c>
      <c r="AI195" s="191">
        <f>G195*S195</f>
        <v>7253</v>
      </c>
      <c r="AJ195" s="191">
        <f>G195*T195</f>
        <v>0</v>
      </c>
      <c r="AK195" s="191">
        <f>R195*S195</f>
        <v>7253</v>
      </c>
      <c r="AL195" s="191">
        <f>R195*T195</f>
        <v>0</v>
      </c>
      <c r="AM195" s="191">
        <f t="shared" si="229"/>
        <v>0</v>
      </c>
      <c r="AN195" s="191">
        <f t="shared" si="229"/>
        <v>0</v>
      </c>
      <c r="AO195" s="193">
        <f>Z195*S195</f>
        <v>2175.9</v>
      </c>
      <c r="AP195" s="193">
        <f>Z195*T195</f>
        <v>0</v>
      </c>
      <c r="AQ195" s="193">
        <f>AA195</f>
        <v>0</v>
      </c>
      <c r="AR195" s="193">
        <f>W195*S195</f>
        <v>0</v>
      </c>
      <c r="AS195" s="193">
        <f>W195*T195</f>
        <v>0</v>
      </c>
      <c r="AT195" s="197">
        <f t="shared" si="199"/>
        <v>7253</v>
      </c>
      <c r="AU195" s="197">
        <f t="shared" si="199"/>
        <v>0</v>
      </c>
      <c r="AV195" s="191"/>
      <c r="AW195" s="236">
        <f>R195*S195</f>
        <v>7253</v>
      </c>
      <c r="AX195" s="236"/>
      <c r="AY195" s="619"/>
      <c r="AZ195" s="619"/>
      <c r="BA195" s="619"/>
    </row>
    <row r="196" spans="2:53" s="69" customFormat="1" ht="31.5">
      <c r="B196" s="660"/>
      <c r="C196" s="168" t="s">
        <v>1662</v>
      </c>
      <c r="D196" s="195"/>
      <c r="E196" s="181"/>
      <c r="F196" s="181"/>
      <c r="G196" s="171">
        <f>SUM(G194:G195)</f>
        <v>14506</v>
      </c>
      <c r="H196" s="703"/>
      <c r="I196" s="171"/>
      <c r="J196" s="682"/>
      <c r="K196" s="181"/>
      <c r="L196" s="181"/>
      <c r="M196" s="682"/>
      <c r="N196" s="181"/>
      <c r="O196" s="682"/>
      <c r="P196" s="181"/>
      <c r="Q196" s="181"/>
      <c r="R196" s="171">
        <f>SUM(R194:R195)</f>
        <v>15231.3</v>
      </c>
      <c r="S196" s="171">
        <f>SUM(S194:S195)</f>
        <v>2</v>
      </c>
      <c r="T196" s="171">
        <f>SUM(T194:T195)</f>
        <v>0</v>
      </c>
      <c r="U196" s="171"/>
      <c r="V196" s="693"/>
      <c r="W196" s="171"/>
      <c r="X196" s="693"/>
      <c r="Y196" s="693"/>
      <c r="Z196" s="171">
        <f>SUM(Z194:Z195)</f>
        <v>4569.3899999999994</v>
      </c>
      <c r="AA196" s="171">
        <f t="shared" ref="AA196:AV196" si="230">SUM(AA194:AA195)</f>
        <v>0</v>
      </c>
      <c r="AB196" s="171">
        <f>SUM(AB194:AB195)</f>
        <v>19800.690000000002</v>
      </c>
      <c r="AC196" s="171">
        <f>SUM(AC194:AC195)</f>
        <v>20199.309999999998</v>
      </c>
      <c r="AD196" s="171">
        <f>SUM(AD194:AD195)</f>
        <v>40000</v>
      </c>
      <c r="AE196" s="171">
        <f t="shared" si="230"/>
        <v>40000</v>
      </c>
      <c r="AF196" s="171">
        <f t="shared" si="230"/>
        <v>20199.309999999998</v>
      </c>
      <c r="AG196" s="171">
        <f>SUM(AG194:AG195)</f>
        <v>16000</v>
      </c>
      <c r="AH196" s="171">
        <f t="shared" si="230"/>
        <v>-3800.6900000000005</v>
      </c>
      <c r="AI196" s="171">
        <f t="shared" si="230"/>
        <v>14506</v>
      </c>
      <c r="AJ196" s="171">
        <f t="shared" si="230"/>
        <v>0</v>
      </c>
      <c r="AK196" s="171">
        <f t="shared" si="230"/>
        <v>15231.3</v>
      </c>
      <c r="AL196" s="171">
        <f t="shared" si="230"/>
        <v>0</v>
      </c>
      <c r="AM196" s="171">
        <f t="shared" si="230"/>
        <v>725.30000000000018</v>
      </c>
      <c r="AN196" s="171">
        <f t="shared" si="230"/>
        <v>0</v>
      </c>
      <c r="AO196" s="171">
        <f t="shared" si="230"/>
        <v>4569.3899999999994</v>
      </c>
      <c r="AP196" s="171">
        <f t="shared" si="230"/>
        <v>0</v>
      </c>
      <c r="AQ196" s="171">
        <f t="shared" si="230"/>
        <v>0</v>
      </c>
      <c r="AR196" s="171">
        <f t="shared" si="230"/>
        <v>0</v>
      </c>
      <c r="AS196" s="171">
        <f t="shared" si="230"/>
        <v>0</v>
      </c>
      <c r="AT196" s="171">
        <f t="shared" si="230"/>
        <v>15231.3</v>
      </c>
      <c r="AU196" s="171">
        <f t="shared" si="230"/>
        <v>0</v>
      </c>
      <c r="AV196" s="171">
        <f t="shared" si="230"/>
        <v>0</v>
      </c>
      <c r="AW196" s="171">
        <f>SUM(AW194:AW195)</f>
        <v>15231.3</v>
      </c>
      <c r="AX196" s="171">
        <f>SUM(AX194:AX195)</f>
        <v>0</v>
      </c>
      <c r="AY196" s="619"/>
      <c r="AZ196" s="619"/>
      <c r="BA196" s="619"/>
    </row>
    <row r="197" spans="2:53" s="69" customFormat="1" ht="33">
      <c r="B197" s="660"/>
      <c r="C197" s="208" t="s">
        <v>1508</v>
      </c>
      <c r="D197" s="205"/>
      <c r="E197" s="206"/>
      <c r="F197" s="206"/>
      <c r="G197" s="206"/>
      <c r="H197" s="696"/>
      <c r="I197" s="171"/>
      <c r="J197" s="696"/>
      <c r="K197" s="206"/>
      <c r="L197" s="206"/>
      <c r="M197" s="696"/>
      <c r="N197" s="206"/>
      <c r="O197" s="696"/>
      <c r="P197" s="206"/>
      <c r="Q197" s="206"/>
      <c r="R197" s="206"/>
      <c r="S197" s="206"/>
      <c r="T197" s="206"/>
      <c r="U197" s="206"/>
      <c r="V197" s="697"/>
      <c r="W197" s="206"/>
      <c r="X197" s="697"/>
      <c r="Y197" s="697"/>
      <c r="Z197" s="206"/>
      <c r="AA197" s="206"/>
      <c r="AB197" s="206"/>
      <c r="AC197" s="207"/>
      <c r="AD197" s="207"/>
      <c r="AE197" s="207"/>
      <c r="AF197" s="207"/>
      <c r="AG197" s="207"/>
      <c r="AH197" s="207"/>
      <c r="AI197" s="191"/>
      <c r="AJ197" s="191"/>
      <c r="AK197" s="191"/>
      <c r="AL197" s="191"/>
      <c r="AM197" s="191"/>
      <c r="AN197" s="191"/>
      <c r="AO197" s="193"/>
      <c r="AP197" s="193"/>
      <c r="AQ197" s="193"/>
      <c r="AR197" s="193"/>
      <c r="AS197" s="193"/>
      <c r="AT197" s="197"/>
      <c r="AU197" s="197"/>
      <c r="AV197" s="191"/>
      <c r="AW197" s="236"/>
      <c r="AX197" s="236"/>
      <c r="AY197" s="619"/>
      <c r="AZ197" s="619"/>
      <c r="BA197" s="619"/>
    </row>
    <row r="198" spans="2:53" s="69" customFormat="1" ht="63">
      <c r="B198" s="660">
        <f>B195+1</f>
        <v>128</v>
      </c>
      <c r="C198" s="185" t="s">
        <v>1050</v>
      </c>
      <c r="D198" s="805" t="s">
        <v>1295</v>
      </c>
      <c r="E198" s="660" t="s">
        <v>1077</v>
      </c>
      <c r="F198" s="660">
        <v>8</v>
      </c>
      <c r="G198" s="187">
        <v>5240</v>
      </c>
      <c r="H198" s="688">
        <v>0.1</v>
      </c>
      <c r="I198" s="187">
        <f>G198*H198</f>
        <v>524</v>
      </c>
      <c r="J198" s="692"/>
      <c r="K198" s="194"/>
      <c r="L198" s="194"/>
      <c r="M198" s="692"/>
      <c r="N198" s="194"/>
      <c r="O198" s="692"/>
      <c r="P198" s="194"/>
      <c r="Q198" s="194"/>
      <c r="R198" s="187">
        <f>G198+I198+K198+L198+N198+P198+Q198</f>
        <v>5764</v>
      </c>
      <c r="S198" s="187">
        <v>1</v>
      </c>
      <c r="T198" s="194"/>
      <c r="U198" s="194"/>
      <c r="V198" s="692"/>
      <c r="W198" s="194"/>
      <c r="X198" s="674">
        <v>20</v>
      </c>
      <c r="Y198" s="688">
        <v>0.3</v>
      </c>
      <c r="Z198" s="187">
        <f>R198*Y198</f>
        <v>1729.2</v>
      </c>
      <c r="AA198" s="187">
        <f t="shared" ref="AA198:AA206" si="231">AH198</f>
        <v>506.80000000000018</v>
      </c>
      <c r="AB198" s="187">
        <f t="shared" ref="AB198:AB206" si="232">(R198+Z198)*S198+AA198</f>
        <v>8000</v>
      </c>
      <c r="AC198" s="689">
        <f t="shared" ref="AC198:AC206" si="233">AF198</f>
        <v>5500</v>
      </c>
      <c r="AD198" s="689">
        <f t="shared" ref="AD198:AD206" si="234">AB198+AC198</f>
        <v>13500</v>
      </c>
      <c r="AE198" s="190">
        <f t="shared" ref="AE198:AE206" si="235">13500*S198</f>
        <v>13500</v>
      </c>
      <c r="AF198" s="190">
        <f t="shared" ref="AF198:AF206" si="236">AE198-AB198</f>
        <v>5500</v>
      </c>
      <c r="AG198" s="689">
        <f>8000*S198</f>
        <v>8000</v>
      </c>
      <c r="AH198" s="190">
        <f t="shared" ref="AH198:AH206" si="237">AG198-(R198+Z198)*S198</f>
        <v>506.80000000000018</v>
      </c>
      <c r="AI198" s="191">
        <f t="shared" ref="AI198:AI206" si="238">G198*S198</f>
        <v>5240</v>
      </c>
      <c r="AJ198" s="191">
        <f t="shared" ref="AJ198:AJ206" si="239">G198*T198</f>
        <v>0</v>
      </c>
      <c r="AK198" s="191">
        <f t="shared" ref="AK198:AK206" si="240">R198*S198</f>
        <v>5764</v>
      </c>
      <c r="AL198" s="191">
        <f t="shared" ref="AL198:AL206" si="241">R198*T198</f>
        <v>0</v>
      </c>
      <c r="AM198" s="191">
        <f t="shared" ref="AM198:AN206" si="242">AK198-AI198</f>
        <v>524</v>
      </c>
      <c r="AN198" s="191">
        <f t="shared" si="242"/>
        <v>0</v>
      </c>
      <c r="AO198" s="193">
        <f t="shared" ref="AO198:AO206" si="243">Z198*S198</f>
        <v>1729.2</v>
      </c>
      <c r="AP198" s="193">
        <f t="shared" ref="AP198:AP206" si="244">Z198*T198</f>
        <v>0</v>
      </c>
      <c r="AQ198" s="193">
        <f t="shared" ref="AQ198:AQ206" si="245">AA198</f>
        <v>506.80000000000018</v>
      </c>
      <c r="AR198" s="193">
        <f t="shared" ref="AR198:AR206" si="246">W198*S198</f>
        <v>0</v>
      </c>
      <c r="AS198" s="193">
        <f t="shared" ref="AS198:AS206" si="247">W198*T198</f>
        <v>0</v>
      </c>
      <c r="AT198" s="197">
        <f t="shared" si="199"/>
        <v>5764</v>
      </c>
      <c r="AU198" s="197">
        <f t="shared" si="199"/>
        <v>0</v>
      </c>
      <c r="AV198" s="191"/>
      <c r="AW198" s="236">
        <f t="shared" ref="AW198:AW206" si="248">R198*S198</f>
        <v>5764</v>
      </c>
      <c r="AX198" s="236"/>
      <c r="AY198" s="619"/>
      <c r="AZ198" s="619"/>
      <c r="BA198" s="619"/>
    </row>
    <row r="199" spans="2:53" s="69" customFormat="1" ht="63">
      <c r="B199" s="660">
        <f>1+B198</f>
        <v>129</v>
      </c>
      <c r="C199" s="185" t="s">
        <v>1062</v>
      </c>
      <c r="D199" s="186" t="s">
        <v>262</v>
      </c>
      <c r="E199" s="660" t="s">
        <v>107</v>
      </c>
      <c r="F199" s="660">
        <v>8</v>
      </c>
      <c r="G199" s="187">
        <v>5240</v>
      </c>
      <c r="H199" s="687"/>
      <c r="I199" s="187"/>
      <c r="J199" s="687"/>
      <c r="K199" s="187"/>
      <c r="L199" s="187"/>
      <c r="M199" s="687"/>
      <c r="N199" s="187"/>
      <c r="O199" s="687"/>
      <c r="P199" s="187"/>
      <c r="Q199" s="194"/>
      <c r="R199" s="187">
        <f t="shared" ref="R199:R206" si="249">G199+I199+K199+L199+N199+P199+Q199</f>
        <v>5240</v>
      </c>
      <c r="S199" s="187">
        <v>1</v>
      </c>
      <c r="T199" s="187"/>
      <c r="U199" s="194"/>
      <c r="V199" s="692"/>
      <c r="W199" s="194"/>
      <c r="X199" s="674">
        <v>20</v>
      </c>
      <c r="Y199" s="688">
        <v>0.3</v>
      </c>
      <c r="Z199" s="187">
        <f t="shared" ref="Z199:Z206" si="250">R199*Y199</f>
        <v>1572</v>
      </c>
      <c r="AA199" s="187">
        <f t="shared" si="231"/>
        <v>1188</v>
      </c>
      <c r="AB199" s="187">
        <f t="shared" si="232"/>
        <v>8000</v>
      </c>
      <c r="AC199" s="689">
        <f t="shared" si="233"/>
        <v>5500</v>
      </c>
      <c r="AD199" s="689">
        <f t="shared" si="234"/>
        <v>13500</v>
      </c>
      <c r="AE199" s="190">
        <f t="shared" si="235"/>
        <v>13500</v>
      </c>
      <c r="AF199" s="190">
        <f t="shared" si="236"/>
        <v>5500</v>
      </c>
      <c r="AG199" s="689">
        <f t="shared" ref="AG199:AG206" si="251">8000*S199</f>
        <v>8000</v>
      </c>
      <c r="AH199" s="190">
        <f t="shared" si="237"/>
        <v>1188</v>
      </c>
      <c r="AI199" s="191">
        <f t="shared" si="238"/>
        <v>5240</v>
      </c>
      <c r="AJ199" s="191">
        <f t="shared" si="239"/>
        <v>0</v>
      </c>
      <c r="AK199" s="191">
        <f t="shared" si="240"/>
        <v>5240</v>
      </c>
      <c r="AL199" s="191">
        <f t="shared" si="241"/>
        <v>0</v>
      </c>
      <c r="AM199" s="191">
        <f t="shared" si="242"/>
        <v>0</v>
      </c>
      <c r="AN199" s="191">
        <f t="shared" si="242"/>
        <v>0</v>
      </c>
      <c r="AO199" s="193">
        <f t="shared" si="243"/>
        <v>1572</v>
      </c>
      <c r="AP199" s="193">
        <f t="shared" si="244"/>
        <v>0</v>
      </c>
      <c r="AQ199" s="193">
        <f t="shared" si="245"/>
        <v>1188</v>
      </c>
      <c r="AR199" s="193">
        <f t="shared" si="246"/>
        <v>0</v>
      </c>
      <c r="AS199" s="193">
        <f t="shared" si="247"/>
        <v>0</v>
      </c>
      <c r="AT199" s="197">
        <f t="shared" si="199"/>
        <v>5240</v>
      </c>
      <c r="AU199" s="197">
        <f t="shared" si="199"/>
        <v>0</v>
      </c>
      <c r="AV199" s="191"/>
      <c r="AW199" s="236">
        <f t="shared" si="248"/>
        <v>5240</v>
      </c>
      <c r="AX199" s="236"/>
      <c r="AY199" s="619"/>
      <c r="AZ199" s="619"/>
      <c r="BA199" s="619"/>
    </row>
    <row r="200" spans="2:53" s="69" customFormat="1" ht="63">
      <c r="B200" s="660">
        <f>B199+1</f>
        <v>130</v>
      </c>
      <c r="C200" s="185" t="s">
        <v>1062</v>
      </c>
      <c r="D200" s="186" t="s">
        <v>1674</v>
      </c>
      <c r="E200" s="660" t="s">
        <v>1053</v>
      </c>
      <c r="F200" s="660">
        <v>6</v>
      </c>
      <c r="G200" s="187">
        <v>4633</v>
      </c>
      <c r="H200" s="687"/>
      <c r="I200" s="187"/>
      <c r="J200" s="687"/>
      <c r="K200" s="187"/>
      <c r="L200" s="187"/>
      <c r="M200" s="687"/>
      <c r="N200" s="187"/>
      <c r="O200" s="687"/>
      <c r="P200" s="187"/>
      <c r="Q200" s="194"/>
      <c r="R200" s="187">
        <f t="shared" si="249"/>
        <v>4633</v>
      </c>
      <c r="S200" s="187">
        <v>1</v>
      </c>
      <c r="T200" s="187"/>
      <c r="U200" s="194"/>
      <c r="V200" s="692"/>
      <c r="W200" s="194"/>
      <c r="X200" s="674">
        <v>42</v>
      </c>
      <c r="Y200" s="688">
        <v>0.3</v>
      </c>
      <c r="Z200" s="187">
        <f t="shared" si="250"/>
        <v>1389.8999999999999</v>
      </c>
      <c r="AA200" s="187">
        <f t="shared" si="231"/>
        <v>1977.1000000000004</v>
      </c>
      <c r="AB200" s="187">
        <f t="shared" si="232"/>
        <v>8000</v>
      </c>
      <c r="AC200" s="689">
        <f t="shared" si="233"/>
        <v>5500</v>
      </c>
      <c r="AD200" s="689">
        <f t="shared" si="234"/>
        <v>13500</v>
      </c>
      <c r="AE200" s="190">
        <f t="shared" si="235"/>
        <v>13500</v>
      </c>
      <c r="AF200" s="190">
        <f t="shared" si="236"/>
        <v>5500</v>
      </c>
      <c r="AG200" s="689">
        <f t="shared" si="251"/>
        <v>8000</v>
      </c>
      <c r="AH200" s="190">
        <f t="shared" si="237"/>
        <v>1977.1000000000004</v>
      </c>
      <c r="AI200" s="191"/>
      <c r="AJ200" s="191"/>
      <c r="AK200" s="191"/>
      <c r="AL200" s="191"/>
      <c r="AM200" s="191"/>
      <c r="AN200" s="191"/>
      <c r="AO200" s="193"/>
      <c r="AP200" s="193"/>
      <c r="AQ200" s="193"/>
      <c r="AR200" s="193"/>
      <c r="AS200" s="193"/>
      <c r="AT200" s="197"/>
      <c r="AU200" s="197"/>
      <c r="AV200" s="191"/>
      <c r="AW200" s="236">
        <f t="shared" si="248"/>
        <v>4633</v>
      </c>
      <c r="AX200" s="236"/>
      <c r="AY200" s="619"/>
      <c r="AZ200" s="619"/>
      <c r="BA200" s="619"/>
    </row>
    <row r="201" spans="2:53" s="69" customFormat="1" ht="63">
      <c r="B201" s="660">
        <f>1+B199</f>
        <v>130</v>
      </c>
      <c r="C201" s="185" t="s">
        <v>1035</v>
      </c>
      <c r="D201" s="186" t="s">
        <v>263</v>
      </c>
      <c r="E201" s="660" t="s">
        <v>1080</v>
      </c>
      <c r="F201" s="660">
        <v>8</v>
      </c>
      <c r="G201" s="187">
        <v>5240</v>
      </c>
      <c r="H201" s="687"/>
      <c r="I201" s="187"/>
      <c r="J201" s="687"/>
      <c r="K201" s="187"/>
      <c r="L201" s="187"/>
      <c r="M201" s="687"/>
      <c r="N201" s="187"/>
      <c r="O201" s="687"/>
      <c r="P201" s="187"/>
      <c r="Q201" s="187"/>
      <c r="R201" s="187">
        <f t="shared" si="249"/>
        <v>5240</v>
      </c>
      <c r="S201" s="187">
        <v>1</v>
      </c>
      <c r="T201" s="187"/>
      <c r="U201" s="187"/>
      <c r="V201" s="687"/>
      <c r="W201" s="187"/>
      <c r="X201" s="674">
        <v>15</v>
      </c>
      <c r="Y201" s="688">
        <v>0.2</v>
      </c>
      <c r="Z201" s="187">
        <f t="shared" si="250"/>
        <v>1048</v>
      </c>
      <c r="AA201" s="187">
        <f t="shared" si="231"/>
        <v>1712</v>
      </c>
      <c r="AB201" s="187">
        <f t="shared" si="232"/>
        <v>8000</v>
      </c>
      <c r="AC201" s="689">
        <f t="shared" si="233"/>
        <v>5500</v>
      </c>
      <c r="AD201" s="689">
        <f t="shared" si="234"/>
        <v>13500</v>
      </c>
      <c r="AE201" s="190">
        <f t="shared" si="235"/>
        <v>13500</v>
      </c>
      <c r="AF201" s="190">
        <f t="shared" si="236"/>
        <v>5500</v>
      </c>
      <c r="AG201" s="689">
        <f t="shared" si="251"/>
        <v>8000</v>
      </c>
      <c r="AH201" s="190">
        <f t="shared" si="237"/>
        <v>1712</v>
      </c>
      <c r="AI201" s="191">
        <f t="shared" si="238"/>
        <v>5240</v>
      </c>
      <c r="AJ201" s="191">
        <f t="shared" si="239"/>
        <v>0</v>
      </c>
      <c r="AK201" s="191">
        <f t="shared" si="240"/>
        <v>5240</v>
      </c>
      <c r="AL201" s="191">
        <f t="shared" si="241"/>
        <v>0</v>
      </c>
      <c r="AM201" s="191">
        <f t="shared" si="242"/>
        <v>0</v>
      </c>
      <c r="AN201" s="191">
        <f t="shared" si="242"/>
        <v>0</v>
      </c>
      <c r="AO201" s="193">
        <f t="shared" si="243"/>
        <v>1048</v>
      </c>
      <c r="AP201" s="193">
        <f t="shared" si="244"/>
        <v>0</v>
      </c>
      <c r="AQ201" s="193">
        <f t="shared" si="245"/>
        <v>1712</v>
      </c>
      <c r="AR201" s="193">
        <f t="shared" si="246"/>
        <v>0</v>
      </c>
      <c r="AS201" s="193">
        <f t="shared" si="247"/>
        <v>0</v>
      </c>
      <c r="AT201" s="197">
        <f t="shared" si="199"/>
        <v>5240</v>
      </c>
      <c r="AU201" s="197">
        <f t="shared" si="199"/>
        <v>0</v>
      </c>
      <c r="AV201" s="191"/>
      <c r="AW201" s="236">
        <f t="shared" si="248"/>
        <v>5240</v>
      </c>
      <c r="AX201" s="236"/>
      <c r="AY201" s="619"/>
      <c r="AZ201" s="619"/>
      <c r="BA201" s="619"/>
    </row>
    <row r="202" spans="2:53" s="69" customFormat="1" ht="63">
      <c r="B202" s="660">
        <f>1+B201</f>
        <v>131</v>
      </c>
      <c r="C202" s="185" t="s">
        <v>1035</v>
      </c>
      <c r="D202" s="186" t="s">
        <v>264</v>
      </c>
      <c r="E202" s="660" t="s">
        <v>1081</v>
      </c>
      <c r="F202" s="660">
        <v>9</v>
      </c>
      <c r="G202" s="187">
        <v>5527</v>
      </c>
      <c r="H202" s="687"/>
      <c r="I202" s="187"/>
      <c r="J202" s="687"/>
      <c r="K202" s="187"/>
      <c r="L202" s="187"/>
      <c r="M202" s="687"/>
      <c r="N202" s="187"/>
      <c r="O202" s="687"/>
      <c r="P202" s="187"/>
      <c r="Q202" s="187"/>
      <c r="R202" s="187">
        <f t="shared" si="249"/>
        <v>5527</v>
      </c>
      <c r="S202" s="187">
        <v>1</v>
      </c>
      <c r="T202" s="187"/>
      <c r="U202" s="187"/>
      <c r="V202" s="687"/>
      <c r="W202" s="187"/>
      <c r="X202" s="674">
        <v>17</v>
      </c>
      <c r="Y202" s="688">
        <v>0.2</v>
      </c>
      <c r="Z202" s="187">
        <f t="shared" si="250"/>
        <v>1105.4000000000001</v>
      </c>
      <c r="AA202" s="187">
        <f t="shared" si="231"/>
        <v>1367.6000000000004</v>
      </c>
      <c r="AB202" s="187">
        <f t="shared" si="232"/>
        <v>8000</v>
      </c>
      <c r="AC202" s="689">
        <f t="shared" si="233"/>
        <v>5500</v>
      </c>
      <c r="AD202" s="689">
        <f t="shared" si="234"/>
        <v>13500</v>
      </c>
      <c r="AE202" s="190">
        <f t="shared" si="235"/>
        <v>13500</v>
      </c>
      <c r="AF202" s="190">
        <f t="shared" si="236"/>
        <v>5500</v>
      </c>
      <c r="AG202" s="689">
        <f t="shared" si="251"/>
        <v>8000</v>
      </c>
      <c r="AH202" s="190">
        <f>AG202-(R202+Z202)*S202</f>
        <v>1367.6000000000004</v>
      </c>
      <c r="AI202" s="191">
        <f t="shared" si="238"/>
        <v>5527</v>
      </c>
      <c r="AJ202" s="191">
        <f t="shared" si="239"/>
        <v>0</v>
      </c>
      <c r="AK202" s="191">
        <f t="shared" si="240"/>
        <v>5527</v>
      </c>
      <c r="AL202" s="191">
        <f t="shared" si="241"/>
        <v>0</v>
      </c>
      <c r="AM202" s="191">
        <f t="shared" si="242"/>
        <v>0</v>
      </c>
      <c r="AN202" s="191">
        <f t="shared" si="242"/>
        <v>0</v>
      </c>
      <c r="AO202" s="193">
        <f t="shared" si="243"/>
        <v>1105.4000000000001</v>
      </c>
      <c r="AP202" s="193">
        <f t="shared" si="244"/>
        <v>0</v>
      </c>
      <c r="AQ202" s="193">
        <f t="shared" si="245"/>
        <v>1367.6000000000004</v>
      </c>
      <c r="AR202" s="193">
        <f t="shared" si="246"/>
        <v>0</v>
      </c>
      <c r="AS202" s="193">
        <f t="shared" si="247"/>
        <v>0</v>
      </c>
      <c r="AT202" s="197">
        <f t="shared" si="199"/>
        <v>5527</v>
      </c>
      <c r="AU202" s="197">
        <f t="shared" si="199"/>
        <v>0</v>
      </c>
      <c r="AV202" s="191"/>
      <c r="AW202" s="236">
        <f t="shared" si="248"/>
        <v>5527</v>
      </c>
      <c r="AX202" s="236"/>
      <c r="AY202" s="619"/>
      <c r="AZ202" s="619"/>
      <c r="BA202" s="619"/>
    </row>
    <row r="203" spans="2:53" s="69" customFormat="1" ht="63">
      <c r="B203" s="660">
        <f>1+B202</f>
        <v>132</v>
      </c>
      <c r="C203" s="185" t="s">
        <v>1035</v>
      </c>
      <c r="D203" s="186" t="s">
        <v>1716</v>
      </c>
      <c r="E203" s="660" t="s">
        <v>1717</v>
      </c>
      <c r="F203" s="660">
        <v>9</v>
      </c>
      <c r="G203" s="187">
        <v>5527</v>
      </c>
      <c r="H203" s="687"/>
      <c r="I203" s="187"/>
      <c r="J203" s="687"/>
      <c r="K203" s="187"/>
      <c r="L203" s="187"/>
      <c r="M203" s="687"/>
      <c r="N203" s="187"/>
      <c r="O203" s="687"/>
      <c r="P203" s="187"/>
      <c r="Q203" s="187"/>
      <c r="R203" s="187">
        <f t="shared" si="249"/>
        <v>5527</v>
      </c>
      <c r="S203" s="187">
        <v>1</v>
      </c>
      <c r="T203" s="187"/>
      <c r="U203" s="187"/>
      <c r="V203" s="687"/>
      <c r="W203" s="187"/>
      <c r="X203" s="674">
        <v>20</v>
      </c>
      <c r="Y203" s="688">
        <v>0.3</v>
      </c>
      <c r="Z203" s="187">
        <f t="shared" si="250"/>
        <v>1658.1</v>
      </c>
      <c r="AA203" s="187">
        <f t="shared" si="231"/>
        <v>814.89999999999964</v>
      </c>
      <c r="AB203" s="187">
        <f t="shared" si="232"/>
        <v>8000</v>
      </c>
      <c r="AC203" s="689">
        <f t="shared" si="233"/>
        <v>5500</v>
      </c>
      <c r="AD203" s="689">
        <f t="shared" si="234"/>
        <v>13500</v>
      </c>
      <c r="AE203" s="190">
        <f t="shared" si="235"/>
        <v>13500</v>
      </c>
      <c r="AF203" s="190">
        <f t="shared" si="236"/>
        <v>5500</v>
      </c>
      <c r="AG203" s="689">
        <f t="shared" si="251"/>
        <v>8000</v>
      </c>
      <c r="AH203" s="190">
        <f t="shared" si="237"/>
        <v>814.89999999999964</v>
      </c>
      <c r="AI203" s="191">
        <f t="shared" si="238"/>
        <v>5527</v>
      </c>
      <c r="AJ203" s="191">
        <f t="shared" si="239"/>
        <v>0</v>
      </c>
      <c r="AK203" s="191">
        <f t="shared" si="240"/>
        <v>5527</v>
      </c>
      <c r="AL203" s="191">
        <f t="shared" si="241"/>
        <v>0</v>
      </c>
      <c r="AM203" s="191">
        <f t="shared" si="242"/>
        <v>0</v>
      </c>
      <c r="AN203" s="191">
        <f t="shared" si="242"/>
        <v>0</v>
      </c>
      <c r="AO203" s="193">
        <f t="shared" si="243"/>
        <v>1658.1</v>
      </c>
      <c r="AP203" s="193">
        <f t="shared" si="244"/>
        <v>0</v>
      </c>
      <c r="AQ203" s="193">
        <f t="shared" si="245"/>
        <v>814.89999999999964</v>
      </c>
      <c r="AR203" s="193">
        <f t="shared" si="246"/>
        <v>0</v>
      </c>
      <c r="AS203" s="193">
        <f t="shared" si="247"/>
        <v>0</v>
      </c>
      <c r="AT203" s="197">
        <f t="shared" si="199"/>
        <v>5527</v>
      </c>
      <c r="AU203" s="197">
        <f t="shared" si="199"/>
        <v>0</v>
      </c>
      <c r="AV203" s="191"/>
      <c r="AW203" s="236">
        <f t="shared" si="248"/>
        <v>5527</v>
      </c>
      <c r="AX203" s="236"/>
      <c r="AY203" s="619"/>
      <c r="AZ203" s="619"/>
      <c r="BA203" s="619"/>
    </row>
    <row r="204" spans="2:53" s="69" customFormat="1" ht="63">
      <c r="B204" s="660">
        <f>1+B203</f>
        <v>133</v>
      </c>
      <c r="C204" s="185" t="s">
        <v>1035</v>
      </c>
      <c r="D204" s="186" t="s">
        <v>265</v>
      </c>
      <c r="E204" s="660" t="s">
        <v>1083</v>
      </c>
      <c r="F204" s="660">
        <v>9</v>
      </c>
      <c r="G204" s="187">
        <v>5527</v>
      </c>
      <c r="H204" s="687"/>
      <c r="I204" s="187"/>
      <c r="J204" s="688"/>
      <c r="K204" s="189"/>
      <c r="L204" s="189"/>
      <c r="M204" s="687"/>
      <c r="N204" s="187"/>
      <c r="O204" s="687"/>
      <c r="P204" s="194"/>
      <c r="Q204" s="194"/>
      <c r="R204" s="187">
        <f t="shared" si="249"/>
        <v>5527</v>
      </c>
      <c r="S204" s="187">
        <v>1</v>
      </c>
      <c r="T204" s="187"/>
      <c r="U204" s="194"/>
      <c r="V204" s="692"/>
      <c r="W204" s="194"/>
      <c r="X204" s="674">
        <v>30</v>
      </c>
      <c r="Y204" s="688">
        <v>0.3</v>
      </c>
      <c r="Z204" s="187">
        <f t="shared" si="250"/>
        <v>1658.1</v>
      </c>
      <c r="AA204" s="187">
        <f t="shared" si="231"/>
        <v>814.89999999999964</v>
      </c>
      <c r="AB204" s="187">
        <f t="shared" si="232"/>
        <v>8000</v>
      </c>
      <c r="AC204" s="689">
        <f t="shared" si="233"/>
        <v>5500</v>
      </c>
      <c r="AD204" s="689">
        <f t="shared" si="234"/>
        <v>13500</v>
      </c>
      <c r="AE204" s="190">
        <f t="shared" si="235"/>
        <v>13500</v>
      </c>
      <c r="AF204" s="190">
        <f t="shared" si="236"/>
        <v>5500</v>
      </c>
      <c r="AG204" s="689">
        <f t="shared" si="251"/>
        <v>8000</v>
      </c>
      <c r="AH204" s="190">
        <f t="shared" si="237"/>
        <v>814.89999999999964</v>
      </c>
      <c r="AI204" s="191">
        <f t="shared" si="238"/>
        <v>5527</v>
      </c>
      <c r="AJ204" s="191">
        <f t="shared" si="239"/>
        <v>0</v>
      </c>
      <c r="AK204" s="191">
        <f t="shared" si="240"/>
        <v>5527</v>
      </c>
      <c r="AL204" s="191">
        <f t="shared" si="241"/>
        <v>0</v>
      </c>
      <c r="AM204" s="191">
        <f t="shared" si="242"/>
        <v>0</v>
      </c>
      <c r="AN204" s="191">
        <f t="shared" si="242"/>
        <v>0</v>
      </c>
      <c r="AO204" s="193">
        <f t="shared" si="243"/>
        <v>1658.1</v>
      </c>
      <c r="AP204" s="193">
        <f t="shared" si="244"/>
        <v>0</v>
      </c>
      <c r="AQ204" s="193">
        <f t="shared" si="245"/>
        <v>814.89999999999964</v>
      </c>
      <c r="AR204" s="193">
        <f t="shared" si="246"/>
        <v>0</v>
      </c>
      <c r="AS204" s="193">
        <f t="shared" si="247"/>
        <v>0</v>
      </c>
      <c r="AT204" s="197">
        <f t="shared" si="199"/>
        <v>5527</v>
      </c>
      <c r="AU204" s="197">
        <f t="shared" si="199"/>
        <v>0</v>
      </c>
      <c r="AV204" s="191"/>
      <c r="AW204" s="236">
        <f t="shared" si="248"/>
        <v>5527</v>
      </c>
      <c r="AX204" s="236"/>
      <c r="AY204" s="619"/>
      <c r="AZ204" s="619"/>
      <c r="BA204" s="619"/>
    </row>
    <row r="205" spans="2:53" s="69" customFormat="1" ht="33">
      <c r="B205" s="660"/>
      <c r="C205" s="185"/>
      <c r="D205" s="186"/>
      <c r="E205" s="181"/>
      <c r="F205" s="660"/>
      <c r="G205" s="187"/>
      <c r="H205" s="687"/>
      <c r="I205" s="187"/>
      <c r="J205" s="688"/>
      <c r="K205" s="189"/>
      <c r="L205" s="189"/>
      <c r="M205" s="687"/>
      <c r="N205" s="187"/>
      <c r="O205" s="687"/>
      <c r="P205" s="194"/>
      <c r="Q205" s="194"/>
      <c r="R205" s="187">
        <f t="shared" si="249"/>
        <v>0</v>
      </c>
      <c r="S205" s="187"/>
      <c r="T205" s="187"/>
      <c r="U205" s="194"/>
      <c r="V205" s="692"/>
      <c r="W205" s="194"/>
      <c r="X205" s="674"/>
      <c r="Y205" s="688"/>
      <c r="Z205" s="187">
        <f t="shared" si="250"/>
        <v>0</v>
      </c>
      <c r="AA205" s="187">
        <f t="shared" si="231"/>
        <v>0</v>
      </c>
      <c r="AB205" s="187">
        <f t="shared" si="232"/>
        <v>0</v>
      </c>
      <c r="AC205" s="689">
        <f t="shared" si="233"/>
        <v>0</v>
      </c>
      <c r="AD205" s="689">
        <f t="shared" si="234"/>
        <v>0</v>
      </c>
      <c r="AE205" s="190">
        <f t="shared" si="235"/>
        <v>0</v>
      </c>
      <c r="AF205" s="190">
        <f t="shared" si="236"/>
        <v>0</v>
      </c>
      <c r="AG205" s="689">
        <f t="shared" si="251"/>
        <v>0</v>
      </c>
      <c r="AH205" s="190">
        <f t="shared" si="237"/>
        <v>0</v>
      </c>
      <c r="AI205" s="191">
        <f t="shared" si="238"/>
        <v>0</v>
      </c>
      <c r="AJ205" s="191">
        <f t="shared" si="239"/>
        <v>0</v>
      </c>
      <c r="AK205" s="191">
        <f t="shared" si="240"/>
        <v>0</v>
      </c>
      <c r="AL205" s="191">
        <f t="shared" si="241"/>
        <v>0</v>
      </c>
      <c r="AM205" s="191">
        <f t="shared" si="242"/>
        <v>0</v>
      </c>
      <c r="AN205" s="191">
        <f t="shared" si="242"/>
        <v>0</v>
      </c>
      <c r="AO205" s="193"/>
      <c r="AP205" s="193"/>
      <c r="AQ205" s="193">
        <f t="shared" si="245"/>
        <v>0</v>
      </c>
      <c r="AR205" s="193">
        <f t="shared" si="246"/>
        <v>0</v>
      </c>
      <c r="AS205" s="193"/>
      <c r="AT205" s="197">
        <f t="shared" si="199"/>
        <v>0</v>
      </c>
      <c r="AU205" s="197">
        <f t="shared" si="199"/>
        <v>0</v>
      </c>
      <c r="AV205" s="191"/>
      <c r="AW205" s="236">
        <f t="shared" si="248"/>
        <v>0</v>
      </c>
      <c r="AX205" s="236"/>
      <c r="AY205" s="619"/>
      <c r="AZ205" s="619"/>
      <c r="BA205" s="619"/>
    </row>
    <row r="206" spans="2:53" s="69" customFormat="1" ht="63">
      <c r="B206" s="660">
        <f>B204+1</f>
        <v>134</v>
      </c>
      <c r="C206" s="185" t="s">
        <v>1035</v>
      </c>
      <c r="D206" s="186" t="s">
        <v>1296</v>
      </c>
      <c r="E206" s="660" t="s">
        <v>1084</v>
      </c>
      <c r="F206" s="660">
        <v>9</v>
      </c>
      <c r="G206" s="187">
        <v>5527</v>
      </c>
      <c r="H206" s="687"/>
      <c r="I206" s="187"/>
      <c r="J206" s="687"/>
      <c r="K206" s="187"/>
      <c r="L206" s="187"/>
      <c r="M206" s="687"/>
      <c r="N206" s="187"/>
      <c r="O206" s="687"/>
      <c r="P206" s="187"/>
      <c r="Q206" s="187"/>
      <c r="R206" s="187">
        <f t="shared" si="249"/>
        <v>5527</v>
      </c>
      <c r="S206" s="187">
        <v>1</v>
      </c>
      <c r="T206" s="187"/>
      <c r="U206" s="187"/>
      <c r="V206" s="687"/>
      <c r="W206" s="187"/>
      <c r="X206" s="674">
        <v>31</v>
      </c>
      <c r="Y206" s="688">
        <v>0.3</v>
      </c>
      <c r="Z206" s="187">
        <f t="shared" si="250"/>
        <v>1658.1</v>
      </c>
      <c r="AA206" s="187">
        <f t="shared" si="231"/>
        <v>814.89999999999964</v>
      </c>
      <c r="AB206" s="187">
        <f t="shared" si="232"/>
        <v>8000</v>
      </c>
      <c r="AC206" s="689">
        <f t="shared" si="233"/>
        <v>5500</v>
      </c>
      <c r="AD206" s="689">
        <f t="shared" si="234"/>
        <v>13500</v>
      </c>
      <c r="AE206" s="190">
        <f t="shared" si="235"/>
        <v>13500</v>
      </c>
      <c r="AF206" s="190">
        <f t="shared" si="236"/>
        <v>5500</v>
      </c>
      <c r="AG206" s="689">
        <f t="shared" si="251"/>
        <v>8000</v>
      </c>
      <c r="AH206" s="190">
        <f t="shared" si="237"/>
        <v>814.89999999999964</v>
      </c>
      <c r="AI206" s="191">
        <f t="shared" si="238"/>
        <v>5527</v>
      </c>
      <c r="AJ206" s="191">
        <f t="shared" si="239"/>
        <v>0</v>
      </c>
      <c r="AK206" s="191">
        <f t="shared" si="240"/>
        <v>5527</v>
      </c>
      <c r="AL206" s="191">
        <f t="shared" si="241"/>
        <v>0</v>
      </c>
      <c r="AM206" s="191">
        <f t="shared" si="242"/>
        <v>0</v>
      </c>
      <c r="AN206" s="191">
        <f t="shared" si="242"/>
        <v>0</v>
      </c>
      <c r="AO206" s="193">
        <f t="shared" si="243"/>
        <v>1658.1</v>
      </c>
      <c r="AP206" s="193">
        <f t="shared" si="244"/>
        <v>0</v>
      </c>
      <c r="AQ206" s="193">
        <f t="shared" si="245"/>
        <v>814.89999999999964</v>
      </c>
      <c r="AR206" s="193">
        <f t="shared" si="246"/>
        <v>0</v>
      </c>
      <c r="AS206" s="193">
        <f t="shared" si="247"/>
        <v>0</v>
      </c>
      <c r="AT206" s="197">
        <f t="shared" si="199"/>
        <v>5527</v>
      </c>
      <c r="AU206" s="197">
        <f t="shared" si="199"/>
        <v>0</v>
      </c>
      <c r="AV206" s="191"/>
      <c r="AW206" s="236">
        <f t="shared" si="248"/>
        <v>5527</v>
      </c>
      <c r="AX206" s="236"/>
      <c r="AY206" s="619"/>
      <c r="AZ206" s="619"/>
      <c r="BA206" s="619"/>
    </row>
    <row r="207" spans="2:53" s="69" customFormat="1" ht="31.5">
      <c r="B207" s="660"/>
      <c r="C207" s="168" t="s">
        <v>1662</v>
      </c>
      <c r="D207" s="195"/>
      <c r="E207" s="181"/>
      <c r="F207" s="181"/>
      <c r="G207" s="171">
        <f>SUM(G198:G206)</f>
        <v>42461</v>
      </c>
      <c r="H207" s="703"/>
      <c r="I207" s="171">
        <f>SUM(I198:I206)</f>
        <v>524</v>
      </c>
      <c r="J207" s="682"/>
      <c r="K207" s="181"/>
      <c r="L207" s="181"/>
      <c r="M207" s="682"/>
      <c r="N207" s="181"/>
      <c r="O207" s="682"/>
      <c r="P207" s="181"/>
      <c r="Q207" s="181"/>
      <c r="R207" s="171">
        <f>SUM(R198:R206)</f>
        <v>42985</v>
      </c>
      <c r="S207" s="171">
        <f>SUM(S198:S206)</f>
        <v>8</v>
      </c>
      <c r="T207" s="171">
        <f>SUM(T198:T206)</f>
        <v>0</v>
      </c>
      <c r="U207" s="171"/>
      <c r="V207" s="693"/>
      <c r="W207" s="171"/>
      <c r="X207" s="693"/>
      <c r="Y207" s="693"/>
      <c r="Z207" s="171">
        <f>SUM(Z198:Z206)</f>
        <v>11818.800000000001</v>
      </c>
      <c r="AA207" s="171">
        <f>SUM(AA198:AA206)</f>
        <v>9196.1999999999989</v>
      </c>
      <c r="AB207" s="171">
        <f>SUM(AB198:AB206)</f>
        <v>64000</v>
      </c>
      <c r="AC207" s="171">
        <f>SUM(AC198:AC206)</f>
        <v>44000</v>
      </c>
      <c r="AD207" s="171">
        <f>SUM(AD198:AD206)</f>
        <v>108000</v>
      </c>
      <c r="AE207" s="171">
        <f t="shared" ref="AE207:AV207" si="252">SUM(AE198:AE206)</f>
        <v>108000</v>
      </c>
      <c r="AF207" s="171">
        <f t="shared" si="252"/>
        <v>44000</v>
      </c>
      <c r="AG207" s="171">
        <f>SUM(AG198:AG206)</f>
        <v>64000</v>
      </c>
      <c r="AH207" s="171">
        <f t="shared" si="252"/>
        <v>9196.1999999999989</v>
      </c>
      <c r="AI207" s="171">
        <f t="shared" si="252"/>
        <v>37828</v>
      </c>
      <c r="AJ207" s="171">
        <f t="shared" si="252"/>
        <v>0</v>
      </c>
      <c r="AK207" s="171">
        <f t="shared" si="252"/>
        <v>38352</v>
      </c>
      <c r="AL207" s="171">
        <f t="shared" si="252"/>
        <v>0</v>
      </c>
      <c r="AM207" s="171">
        <f t="shared" si="252"/>
        <v>524</v>
      </c>
      <c r="AN207" s="171">
        <f t="shared" si="252"/>
        <v>0</v>
      </c>
      <c r="AO207" s="171">
        <f t="shared" si="252"/>
        <v>10428.900000000001</v>
      </c>
      <c r="AP207" s="171">
        <f t="shared" si="252"/>
        <v>0</v>
      </c>
      <c r="AQ207" s="171">
        <f t="shared" si="252"/>
        <v>7219.0999999999995</v>
      </c>
      <c r="AR207" s="171">
        <f t="shared" si="252"/>
        <v>0</v>
      </c>
      <c r="AS207" s="171">
        <f t="shared" si="252"/>
        <v>0</v>
      </c>
      <c r="AT207" s="171">
        <f t="shared" si="252"/>
        <v>38352</v>
      </c>
      <c r="AU207" s="171">
        <f t="shared" si="252"/>
        <v>0</v>
      </c>
      <c r="AV207" s="171">
        <f t="shared" si="252"/>
        <v>0</v>
      </c>
      <c r="AW207" s="171">
        <f>SUM(AW198:AW206)</f>
        <v>42985</v>
      </c>
      <c r="AX207" s="171">
        <f>SUM(AX198:AX206)</f>
        <v>0</v>
      </c>
      <c r="AY207" s="619"/>
      <c r="AZ207" s="619"/>
      <c r="BA207" s="619"/>
    </row>
    <row r="208" spans="2:53" s="69" customFormat="1" ht="33">
      <c r="B208" s="660"/>
      <c r="C208" s="208" t="s">
        <v>1774</v>
      </c>
      <c r="D208" s="195"/>
      <c r="E208" s="181"/>
      <c r="F208" s="181"/>
      <c r="G208" s="171"/>
      <c r="H208" s="703"/>
      <c r="I208" s="171"/>
      <c r="J208" s="682"/>
      <c r="K208" s="181"/>
      <c r="L208" s="181"/>
      <c r="M208" s="682"/>
      <c r="N208" s="181"/>
      <c r="O208" s="682"/>
      <c r="P208" s="172"/>
      <c r="Q208" s="181"/>
      <c r="R208" s="171"/>
      <c r="S208" s="171"/>
      <c r="T208" s="171"/>
      <c r="U208" s="171"/>
      <c r="V208" s="693"/>
      <c r="W208" s="171"/>
      <c r="X208" s="693"/>
      <c r="Y208" s="693"/>
      <c r="Z208" s="171"/>
      <c r="AA208" s="171"/>
      <c r="AB208" s="171"/>
      <c r="AC208" s="196"/>
      <c r="AD208" s="196"/>
      <c r="AE208" s="196"/>
      <c r="AF208" s="196"/>
      <c r="AG208" s="196"/>
      <c r="AH208" s="196"/>
      <c r="AI208" s="191"/>
      <c r="AJ208" s="191"/>
      <c r="AK208" s="191"/>
      <c r="AL208" s="191"/>
      <c r="AM208" s="191"/>
      <c r="AN208" s="191"/>
      <c r="AO208" s="193"/>
      <c r="AP208" s="193"/>
      <c r="AQ208" s="193"/>
      <c r="AR208" s="193"/>
      <c r="AS208" s="193"/>
      <c r="AT208" s="197"/>
      <c r="AU208" s="197"/>
      <c r="AV208" s="191"/>
      <c r="AW208" s="236"/>
      <c r="AX208" s="236"/>
      <c r="AY208" s="619"/>
      <c r="AZ208" s="619"/>
      <c r="BA208" s="619"/>
    </row>
    <row r="209" spans="2:53" s="69" customFormat="1" ht="94.5">
      <c r="B209" s="660">
        <f>B206+1</f>
        <v>135</v>
      </c>
      <c r="C209" s="185" t="s">
        <v>1138</v>
      </c>
      <c r="D209" s="186"/>
      <c r="E209" s="660" t="s">
        <v>1724</v>
      </c>
      <c r="F209" s="660">
        <v>3</v>
      </c>
      <c r="G209" s="187">
        <v>3770</v>
      </c>
      <c r="H209" s="687"/>
      <c r="I209" s="187"/>
      <c r="J209" s="687"/>
      <c r="K209" s="187"/>
      <c r="L209" s="187"/>
      <c r="M209" s="687"/>
      <c r="N209" s="187"/>
      <c r="O209" s="687"/>
      <c r="P209" s="187"/>
      <c r="Q209" s="187"/>
      <c r="R209" s="187">
        <f>G209+I209+K209+L209+N209+P209+Q209</f>
        <v>3770</v>
      </c>
      <c r="S209" s="187">
        <v>1</v>
      </c>
      <c r="T209" s="194"/>
      <c r="U209" s="194"/>
      <c r="V209" s="688">
        <v>0.1</v>
      </c>
      <c r="W209" s="187">
        <f>R209*V209</f>
        <v>377</v>
      </c>
      <c r="X209" s="674"/>
      <c r="Y209" s="688"/>
      <c r="Z209" s="187"/>
      <c r="AA209" s="187">
        <f>AH209</f>
        <v>4230</v>
      </c>
      <c r="AB209" s="187">
        <f>(R209+Z209+U209+W209)*S209+AA209</f>
        <v>8377</v>
      </c>
      <c r="AC209" s="689">
        <f>AF209</f>
        <v>0</v>
      </c>
      <c r="AD209" s="689">
        <f>AB209+AC209</f>
        <v>8377</v>
      </c>
      <c r="AE209" s="190">
        <f>AB209</f>
        <v>8377</v>
      </c>
      <c r="AF209" s="190">
        <f>AE209-AB209</f>
        <v>0</v>
      </c>
      <c r="AG209" s="689">
        <f>8000*S209</f>
        <v>8000</v>
      </c>
      <c r="AH209" s="190">
        <f>AG209-(R209*S209)</f>
        <v>4230</v>
      </c>
      <c r="AI209" s="191">
        <f>G209*S209</f>
        <v>3770</v>
      </c>
      <c r="AJ209" s="191">
        <f>G209*T209</f>
        <v>0</v>
      </c>
      <c r="AK209" s="191">
        <f>R209*S209</f>
        <v>3770</v>
      </c>
      <c r="AL209" s="191">
        <f>R209*T209</f>
        <v>0</v>
      </c>
      <c r="AM209" s="191">
        <f t="shared" ref="AM209:AN213" si="253">AK209-AI209</f>
        <v>0</v>
      </c>
      <c r="AN209" s="191">
        <f t="shared" si="253"/>
        <v>0</v>
      </c>
      <c r="AO209" s="193">
        <f>Z209*S209</f>
        <v>0</v>
      </c>
      <c r="AP209" s="193">
        <f>Z209*T209</f>
        <v>0</v>
      </c>
      <c r="AQ209" s="193">
        <f>AA209</f>
        <v>4230</v>
      </c>
      <c r="AR209" s="193">
        <f>W209*S209</f>
        <v>377</v>
      </c>
      <c r="AS209" s="193">
        <f>W209*T209</f>
        <v>0</v>
      </c>
      <c r="AT209" s="197">
        <f t="shared" si="199"/>
        <v>3770</v>
      </c>
      <c r="AU209" s="197">
        <f t="shared" si="199"/>
        <v>0</v>
      </c>
      <c r="AV209" s="191"/>
      <c r="AW209" s="236">
        <f>R209*S209</f>
        <v>3770</v>
      </c>
      <c r="AX209" s="236"/>
      <c r="AY209" s="619"/>
      <c r="AZ209" s="619"/>
      <c r="BA209" s="619"/>
    </row>
    <row r="210" spans="2:53" s="69" customFormat="1" ht="94.5">
      <c r="B210" s="660">
        <f>1+B209</f>
        <v>136</v>
      </c>
      <c r="C210" s="185" t="s">
        <v>1138</v>
      </c>
      <c r="D210" s="186"/>
      <c r="E210" s="660" t="s">
        <v>1150</v>
      </c>
      <c r="F210" s="660">
        <v>3</v>
      </c>
      <c r="G210" s="187">
        <v>3770</v>
      </c>
      <c r="H210" s="687"/>
      <c r="I210" s="187"/>
      <c r="J210" s="687"/>
      <c r="K210" s="187"/>
      <c r="L210" s="187"/>
      <c r="M210" s="687"/>
      <c r="N210" s="187"/>
      <c r="O210" s="687"/>
      <c r="P210" s="187"/>
      <c r="Q210" s="187"/>
      <c r="R210" s="187">
        <f>G210+I210+K210+L210+N210+P210+Q210</f>
        <v>3770</v>
      </c>
      <c r="S210" s="187">
        <v>1</v>
      </c>
      <c r="T210" s="187"/>
      <c r="U210" s="187"/>
      <c r="V210" s="688">
        <v>0.1</v>
      </c>
      <c r="W210" s="187">
        <f>R210*V210</f>
        <v>377</v>
      </c>
      <c r="X210" s="674"/>
      <c r="Y210" s="688"/>
      <c r="Z210" s="187"/>
      <c r="AA210" s="187">
        <f>AH210</f>
        <v>4230</v>
      </c>
      <c r="AB210" s="187">
        <f>(R210+Z210+U210+W210)*S210+AA210</f>
        <v>8377</v>
      </c>
      <c r="AC210" s="689">
        <f>AF210</f>
        <v>0</v>
      </c>
      <c r="AD210" s="689">
        <f>AB210+AC210</f>
        <v>8377</v>
      </c>
      <c r="AE210" s="190">
        <f>AB210</f>
        <v>8377</v>
      </c>
      <c r="AF210" s="190">
        <f>AE210-AB210</f>
        <v>0</v>
      </c>
      <c r="AG210" s="689">
        <f>8000*S210</f>
        <v>8000</v>
      </c>
      <c r="AH210" s="190">
        <f>AG210-(R210*S210)</f>
        <v>4230</v>
      </c>
      <c r="AI210" s="191">
        <f>G210*S210</f>
        <v>3770</v>
      </c>
      <c r="AJ210" s="191">
        <f>G210*T210</f>
        <v>0</v>
      </c>
      <c r="AK210" s="191">
        <f>R210*S210</f>
        <v>3770</v>
      </c>
      <c r="AL210" s="191">
        <f>R210*T210</f>
        <v>0</v>
      </c>
      <c r="AM210" s="191">
        <f t="shared" si="253"/>
        <v>0</v>
      </c>
      <c r="AN210" s="191">
        <f t="shared" si="253"/>
        <v>0</v>
      </c>
      <c r="AO210" s="193">
        <f>Z210*S210</f>
        <v>0</v>
      </c>
      <c r="AP210" s="193">
        <f>Z210*T210</f>
        <v>0</v>
      </c>
      <c r="AQ210" s="193">
        <f>AA210</f>
        <v>4230</v>
      </c>
      <c r="AR210" s="193">
        <f>W210*S210</f>
        <v>377</v>
      </c>
      <c r="AS210" s="193">
        <f>W210*T210</f>
        <v>0</v>
      </c>
      <c r="AT210" s="197">
        <f t="shared" si="199"/>
        <v>3770</v>
      </c>
      <c r="AU210" s="197">
        <f t="shared" si="199"/>
        <v>0</v>
      </c>
      <c r="AV210" s="191"/>
      <c r="AW210" s="236">
        <f>R210*S210</f>
        <v>3770</v>
      </c>
      <c r="AX210" s="236"/>
      <c r="AY210" s="619"/>
      <c r="AZ210" s="619"/>
      <c r="BA210" s="619"/>
    </row>
    <row r="211" spans="2:53" s="69" customFormat="1" ht="94.5">
      <c r="B211" s="660">
        <f>1+B210</f>
        <v>137</v>
      </c>
      <c r="C211" s="185" t="s">
        <v>1138</v>
      </c>
      <c r="D211" s="186"/>
      <c r="E211" s="660" t="s">
        <v>1725</v>
      </c>
      <c r="F211" s="660">
        <v>3</v>
      </c>
      <c r="G211" s="187">
        <v>3770</v>
      </c>
      <c r="H211" s="687"/>
      <c r="I211" s="187"/>
      <c r="J211" s="687"/>
      <c r="K211" s="187"/>
      <c r="L211" s="187"/>
      <c r="M211" s="687"/>
      <c r="N211" s="187"/>
      <c r="O211" s="687"/>
      <c r="P211" s="187"/>
      <c r="Q211" s="187"/>
      <c r="R211" s="187">
        <f>G211+I211+K211+L211+N211+P211+Q211</f>
        <v>3770</v>
      </c>
      <c r="S211" s="187">
        <v>1</v>
      </c>
      <c r="T211" s="187"/>
      <c r="U211" s="187"/>
      <c r="V211" s="688">
        <v>0.1</v>
      </c>
      <c r="W211" s="187">
        <f>R211*V211</f>
        <v>377</v>
      </c>
      <c r="X211" s="674"/>
      <c r="Y211" s="688"/>
      <c r="Z211" s="187"/>
      <c r="AA211" s="187">
        <f>AH211</f>
        <v>4230</v>
      </c>
      <c r="AB211" s="187">
        <f>(R211+Z211+U211+W211)*S211+AA211</f>
        <v>8377</v>
      </c>
      <c r="AC211" s="689">
        <f>AF211</f>
        <v>0</v>
      </c>
      <c r="AD211" s="689">
        <f>AB211+AC211</f>
        <v>8377</v>
      </c>
      <c r="AE211" s="190">
        <f>AB211</f>
        <v>8377</v>
      </c>
      <c r="AF211" s="190">
        <f>AE211-AB211</f>
        <v>0</v>
      </c>
      <c r="AG211" s="689">
        <f>8000*S211</f>
        <v>8000</v>
      </c>
      <c r="AH211" s="190">
        <f>AG211-(R211*S211)</f>
        <v>4230</v>
      </c>
      <c r="AI211" s="191">
        <f>G211*S211</f>
        <v>3770</v>
      </c>
      <c r="AJ211" s="191">
        <f>G211*T211</f>
        <v>0</v>
      </c>
      <c r="AK211" s="191">
        <f>R211*S211</f>
        <v>3770</v>
      </c>
      <c r="AL211" s="191">
        <f>R211*T211</f>
        <v>0</v>
      </c>
      <c r="AM211" s="191">
        <f t="shared" si="253"/>
        <v>0</v>
      </c>
      <c r="AN211" s="191">
        <f t="shared" si="253"/>
        <v>0</v>
      </c>
      <c r="AO211" s="193">
        <f>Z211*S211</f>
        <v>0</v>
      </c>
      <c r="AP211" s="193">
        <f>Z211*T211</f>
        <v>0</v>
      </c>
      <c r="AQ211" s="193">
        <f>AA211</f>
        <v>4230</v>
      </c>
      <c r="AR211" s="193">
        <f>W211*S211</f>
        <v>377</v>
      </c>
      <c r="AS211" s="193">
        <f>W211*T211</f>
        <v>0</v>
      </c>
      <c r="AT211" s="197">
        <f t="shared" si="199"/>
        <v>3770</v>
      </c>
      <c r="AU211" s="197">
        <f t="shared" si="199"/>
        <v>0</v>
      </c>
      <c r="AV211" s="191"/>
      <c r="AW211" s="236">
        <f>R211*S211</f>
        <v>3770</v>
      </c>
      <c r="AX211" s="236"/>
      <c r="AY211" s="619"/>
      <c r="AZ211" s="619"/>
      <c r="BA211" s="619"/>
    </row>
    <row r="212" spans="2:53" s="69" customFormat="1" ht="94.5">
      <c r="B212" s="660">
        <f>1+B211</f>
        <v>138</v>
      </c>
      <c r="C212" s="185" t="s">
        <v>1138</v>
      </c>
      <c r="D212" s="186"/>
      <c r="E212" s="660" t="s">
        <v>1155</v>
      </c>
      <c r="F212" s="660">
        <v>3</v>
      </c>
      <c r="G212" s="187">
        <v>3770</v>
      </c>
      <c r="H212" s="687"/>
      <c r="I212" s="187"/>
      <c r="J212" s="687"/>
      <c r="K212" s="187"/>
      <c r="L212" s="187"/>
      <c r="M212" s="687"/>
      <c r="N212" s="187"/>
      <c r="O212" s="687"/>
      <c r="P212" s="187"/>
      <c r="Q212" s="187"/>
      <c r="R212" s="187">
        <f>G212+I212+K212+L212+N212+P212+Q212</f>
        <v>3770</v>
      </c>
      <c r="S212" s="187">
        <v>1</v>
      </c>
      <c r="T212" s="187"/>
      <c r="U212" s="187"/>
      <c r="V212" s="688">
        <v>0.1</v>
      </c>
      <c r="W212" s="187">
        <f>R212*V212</f>
        <v>377</v>
      </c>
      <c r="X212" s="674"/>
      <c r="Y212" s="688"/>
      <c r="Z212" s="187"/>
      <c r="AA212" s="187">
        <f>AH212</f>
        <v>4230</v>
      </c>
      <c r="AB212" s="187">
        <f>(R212+Z212+U212+W212)*S212+AA212</f>
        <v>8377</v>
      </c>
      <c r="AC212" s="689">
        <f>AF212</f>
        <v>0</v>
      </c>
      <c r="AD212" s="689">
        <f>AB212+AC212</f>
        <v>8377</v>
      </c>
      <c r="AE212" s="190">
        <f>AB212</f>
        <v>8377</v>
      </c>
      <c r="AF212" s="190">
        <f>AE212-AB212</f>
        <v>0</v>
      </c>
      <c r="AG212" s="689">
        <f>8000*S212</f>
        <v>8000</v>
      </c>
      <c r="AH212" s="190">
        <f>AG212-(R212*S212)</f>
        <v>4230</v>
      </c>
      <c r="AI212" s="191">
        <f>G212*S212</f>
        <v>3770</v>
      </c>
      <c r="AJ212" s="191">
        <f>G212*T212</f>
        <v>0</v>
      </c>
      <c r="AK212" s="191">
        <f>R212*S212</f>
        <v>3770</v>
      </c>
      <c r="AL212" s="191">
        <f>R212*T212</f>
        <v>0</v>
      </c>
      <c r="AM212" s="191">
        <f t="shared" si="253"/>
        <v>0</v>
      </c>
      <c r="AN212" s="191">
        <f t="shared" si="253"/>
        <v>0</v>
      </c>
      <c r="AO212" s="193">
        <f>Z212*S212</f>
        <v>0</v>
      </c>
      <c r="AP212" s="193">
        <f>Z212*T212</f>
        <v>0</v>
      </c>
      <c r="AQ212" s="193">
        <f>AA212</f>
        <v>4230</v>
      </c>
      <c r="AR212" s="193">
        <f>W212*S212</f>
        <v>377</v>
      </c>
      <c r="AS212" s="193">
        <f>W212*T212</f>
        <v>0</v>
      </c>
      <c r="AT212" s="197">
        <f t="shared" si="199"/>
        <v>3770</v>
      </c>
      <c r="AU212" s="197">
        <f t="shared" si="199"/>
        <v>0</v>
      </c>
      <c r="AV212" s="191"/>
      <c r="AW212" s="236">
        <f>R212*S212</f>
        <v>3770</v>
      </c>
      <c r="AX212" s="236"/>
      <c r="AY212" s="619"/>
      <c r="AZ212" s="619"/>
      <c r="BA212" s="619"/>
    </row>
    <row r="213" spans="2:53" s="69" customFormat="1" ht="94.5">
      <c r="B213" s="660">
        <f>1+B212</f>
        <v>139</v>
      </c>
      <c r="C213" s="185" t="s">
        <v>1138</v>
      </c>
      <c r="D213" s="186"/>
      <c r="E213" s="660" t="s">
        <v>1151</v>
      </c>
      <c r="F213" s="660">
        <v>3</v>
      </c>
      <c r="G213" s="187">
        <v>3770</v>
      </c>
      <c r="H213" s="687"/>
      <c r="I213" s="187"/>
      <c r="J213" s="687"/>
      <c r="K213" s="187"/>
      <c r="L213" s="187"/>
      <c r="M213" s="687"/>
      <c r="N213" s="187"/>
      <c r="O213" s="687"/>
      <c r="P213" s="187"/>
      <c r="Q213" s="187"/>
      <c r="R213" s="187">
        <f>G213+I213+K213+L213+N213+P213+Q213</f>
        <v>3770</v>
      </c>
      <c r="S213" s="187">
        <v>1</v>
      </c>
      <c r="T213" s="187"/>
      <c r="U213" s="187"/>
      <c r="V213" s="688">
        <v>0.1</v>
      </c>
      <c r="W213" s="187">
        <f>R213*V213</f>
        <v>377</v>
      </c>
      <c r="X213" s="674"/>
      <c r="Y213" s="688"/>
      <c r="Z213" s="187"/>
      <c r="AA213" s="187">
        <f>AH213</f>
        <v>4230</v>
      </c>
      <c r="AB213" s="187">
        <f>(R213+Z213+U213+W213)*S213+AA213</f>
        <v>8377</v>
      </c>
      <c r="AC213" s="689">
        <f>AF213</f>
        <v>0</v>
      </c>
      <c r="AD213" s="689">
        <f>AB213+AC213</f>
        <v>8377</v>
      </c>
      <c r="AE213" s="190">
        <f>AB213</f>
        <v>8377</v>
      </c>
      <c r="AF213" s="190">
        <f>AE213-AB213</f>
        <v>0</v>
      </c>
      <c r="AG213" s="689">
        <f>8000*S213</f>
        <v>8000</v>
      </c>
      <c r="AH213" s="190">
        <f>AG213-(R213*S213)</f>
        <v>4230</v>
      </c>
      <c r="AI213" s="191">
        <f>G213*S213</f>
        <v>3770</v>
      </c>
      <c r="AJ213" s="191">
        <f>G213*T213</f>
        <v>0</v>
      </c>
      <c r="AK213" s="191">
        <f>R213*S213</f>
        <v>3770</v>
      </c>
      <c r="AL213" s="191">
        <f>R213*T213</f>
        <v>0</v>
      </c>
      <c r="AM213" s="191">
        <f t="shared" si="253"/>
        <v>0</v>
      </c>
      <c r="AN213" s="191">
        <f t="shared" si="253"/>
        <v>0</v>
      </c>
      <c r="AO213" s="193">
        <f>Z213*S213</f>
        <v>0</v>
      </c>
      <c r="AP213" s="193">
        <f>Z213*T213</f>
        <v>0</v>
      </c>
      <c r="AQ213" s="193">
        <f>AA213</f>
        <v>4230</v>
      </c>
      <c r="AR213" s="193">
        <f>W213*S213</f>
        <v>377</v>
      </c>
      <c r="AS213" s="193">
        <f>W213*T213</f>
        <v>0</v>
      </c>
      <c r="AT213" s="197">
        <f t="shared" si="199"/>
        <v>3770</v>
      </c>
      <c r="AU213" s="197">
        <f t="shared" si="199"/>
        <v>0</v>
      </c>
      <c r="AV213" s="191"/>
      <c r="AW213" s="236">
        <f>R213*S213</f>
        <v>3770</v>
      </c>
      <c r="AX213" s="236"/>
      <c r="AY213" s="619"/>
      <c r="AZ213" s="619"/>
      <c r="BA213" s="619"/>
    </row>
    <row r="214" spans="2:53" s="69" customFormat="1" ht="31.5">
      <c r="B214" s="660"/>
      <c r="C214" s="168" t="s">
        <v>1662</v>
      </c>
      <c r="D214" s="211"/>
      <c r="E214" s="181"/>
      <c r="F214" s="181"/>
      <c r="G214" s="171">
        <f>SUM(G209:G213)</f>
        <v>18850</v>
      </c>
      <c r="H214" s="682"/>
      <c r="I214" s="181"/>
      <c r="J214" s="682"/>
      <c r="K214" s="181"/>
      <c r="L214" s="181"/>
      <c r="M214" s="682"/>
      <c r="N214" s="181"/>
      <c r="O214" s="682"/>
      <c r="P214" s="181"/>
      <c r="Q214" s="181"/>
      <c r="R214" s="171">
        <f>SUM(R209:R213)</f>
        <v>18850</v>
      </c>
      <c r="S214" s="171">
        <f>SUM(S209:S213)</f>
        <v>5</v>
      </c>
      <c r="T214" s="171">
        <f>SUM(T209:T213)</f>
        <v>0</v>
      </c>
      <c r="U214" s="171"/>
      <c r="V214" s="693"/>
      <c r="W214" s="171">
        <f>SUM(W209:W213)</f>
        <v>1885</v>
      </c>
      <c r="X214" s="693"/>
      <c r="Y214" s="693"/>
      <c r="Z214" s="171"/>
      <c r="AA214" s="171">
        <f>SUM(AA209:AA213)</f>
        <v>21150</v>
      </c>
      <c r="AB214" s="171">
        <f>SUM(AB209:AB213)</f>
        <v>41885</v>
      </c>
      <c r="AC214" s="171">
        <f>SUM(AC209:AC213)</f>
        <v>0</v>
      </c>
      <c r="AD214" s="171">
        <f>SUM(AD209:AD213)</f>
        <v>41885</v>
      </c>
      <c r="AE214" s="171">
        <f t="shared" ref="AE214:AV214" si="254">SUM(AE209:AE213)</f>
        <v>41885</v>
      </c>
      <c r="AF214" s="171">
        <f t="shared" si="254"/>
        <v>0</v>
      </c>
      <c r="AG214" s="171">
        <f>SUM(AG209:AG213)</f>
        <v>40000</v>
      </c>
      <c r="AH214" s="171">
        <f t="shared" si="254"/>
        <v>21150</v>
      </c>
      <c r="AI214" s="171">
        <f t="shared" si="254"/>
        <v>18850</v>
      </c>
      <c r="AJ214" s="171">
        <f t="shared" si="254"/>
        <v>0</v>
      </c>
      <c r="AK214" s="171">
        <f t="shared" si="254"/>
        <v>18850</v>
      </c>
      <c r="AL214" s="171">
        <f t="shared" si="254"/>
        <v>0</v>
      </c>
      <c r="AM214" s="171">
        <f t="shared" si="254"/>
        <v>0</v>
      </c>
      <c r="AN214" s="171">
        <f t="shared" si="254"/>
        <v>0</v>
      </c>
      <c r="AO214" s="171">
        <f t="shared" si="254"/>
        <v>0</v>
      </c>
      <c r="AP214" s="171">
        <f t="shared" si="254"/>
        <v>0</v>
      </c>
      <c r="AQ214" s="171">
        <f t="shared" si="254"/>
        <v>21150</v>
      </c>
      <c r="AR214" s="171">
        <f t="shared" si="254"/>
        <v>1885</v>
      </c>
      <c r="AS214" s="171">
        <f t="shared" si="254"/>
        <v>0</v>
      </c>
      <c r="AT214" s="171">
        <f t="shared" si="254"/>
        <v>18850</v>
      </c>
      <c r="AU214" s="171">
        <f t="shared" si="254"/>
        <v>0</v>
      </c>
      <c r="AV214" s="171">
        <f t="shared" si="254"/>
        <v>0</v>
      </c>
      <c r="AW214" s="171">
        <f>SUM(AW209:AW213)</f>
        <v>18850</v>
      </c>
      <c r="AX214" s="171">
        <f>SUM(AX209:AX213)</f>
        <v>0</v>
      </c>
      <c r="AY214" s="619"/>
      <c r="AZ214" s="619"/>
      <c r="BA214" s="619"/>
    </row>
    <row r="215" spans="2:53" s="69" customFormat="1" ht="31.5">
      <c r="B215" s="660"/>
      <c r="C215" s="168" t="s">
        <v>1223</v>
      </c>
      <c r="D215" s="195"/>
      <c r="E215" s="182"/>
      <c r="F215" s="181"/>
      <c r="G215" s="171">
        <f>G196+G207+G214</f>
        <v>75817</v>
      </c>
      <c r="H215" s="693"/>
      <c r="I215" s="171">
        <f t="shared" ref="I215:AV215" si="255">I196+I207+I214</f>
        <v>524</v>
      </c>
      <c r="J215" s="693"/>
      <c r="K215" s="171"/>
      <c r="L215" s="171"/>
      <c r="M215" s="693"/>
      <c r="N215" s="171"/>
      <c r="O215" s="693"/>
      <c r="P215" s="171"/>
      <c r="Q215" s="171"/>
      <c r="R215" s="171">
        <f t="shared" si="255"/>
        <v>77066.3</v>
      </c>
      <c r="S215" s="171">
        <f>S196+S207+S214</f>
        <v>15</v>
      </c>
      <c r="T215" s="171">
        <f t="shared" si="255"/>
        <v>0</v>
      </c>
      <c r="U215" s="171"/>
      <c r="V215" s="693"/>
      <c r="W215" s="171">
        <f t="shared" si="255"/>
        <v>1885</v>
      </c>
      <c r="X215" s="693"/>
      <c r="Y215" s="693"/>
      <c r="Z215" s="171">
        <f t="shared" si="255"/>
        <v>16388.190000000002</v>
      </c>
      <c r="AA215" s="171">
        <f t="shared" si="255"/>
        <v>30346.199999999997</v>
      </c>
      <c r="AB215" s="171">
        <f t="shared" si="255"/>
        <v>125685.69</v>
      </c>
      <c r="AC215" s="171">
        <f t="shared" si="255"/>
        <v>64199.31</v>
      </c>
      <c r="AD215" s="171">
        <f>AD196+AD207+AD214</f>
        <v>189885</v>
      </c>
      <c r="AE215" s="171">
        <f t="shared" si="255"/>
        <v>189885</v>
      </c>
      <c r="AF215" s="171">
        <f t="shared" si="255"/>
        <v>64199.31</v>
      </c>
      <c r="AG215" s="171">
        <f>AG196+AG207+AG214</f>
        <v>120000</v>
      </c>
      <c r="AH215" s="171">
        <f t="shared" si="255"/>
        <v>26545.51</v>
      </c>
      <c r="AI215" s="171">
        <f t="shared" si="255"/>
        <v>71184</v>
      </c>
      <c r="AJ215" s="171">
        <f t="shared" si="255"/>
        <v>0</v>
      </c>
      <c r="AK215" s="171">
        <f t="shared" si="255"/>
        <v>72433.3</v>
      </c>
      <c r="AL215" s="171">
        <f t="shared" si="255"/>
        <v>0</v>
      </c>
      <c r="AM215" s="171">
        <f t="shared" si="255"/>
        <v>1249.3000000000002</v>
      </c>
      <c r="AN215" s="171">
        <f t="shared" si="255"/>
        <v>0</v>
      </c>
      <c r="AO215" s="171">
        <f t="shared" si="255"/>
        <v>14998.29</v>
      </c>
      <c r="AP215" s="171">
        <f t="shared" si="255"/>
        <v>0</v>
      </c>
      <c r="AQ215" s="171">
        <f t="shared" si="255"/>
        <v>28369.1</v>
      </c>
      <c r="AR215" s="171">
        <f t="shared" si="255"/>
        <v>1885</v>
      </c>
      <c r="AS215" s="171">
        <f t="shared" si="255"/>
        <v>0</v>
      </c>
      <c r="AT215" s="171">
        <f t="shared" si="255"/>
        <v>72433.3</v>
      </c>
      <c r="AU215" s="171">
        <f t="shared" si="255"/>
        <v>0</v>
      </c>
      <c r="AV215" s="171">
        <f t="shared" si="255"/>
        <v>0</v>
      </c>
      <c r="AW215" s="171">
        <f>AW196+AW207+AW214</f>
        <v>77066.3</v>
      </c>
      <c r="AX215" s="171">
        <f>AX196+AX207+AX214</f>
        <v>0</v>
      </c>
      <c r="AY215" s="619"/>
      <c r="AZ215" s="619"/>
      <c r="BA215" s="619"/>
    </row>
    <row r="216" spans="2:53" s="69" customFormat="1" ht="33">
      <c r="B216" s="660"/>
      <c r="C216" s="179" t="s">
        <v>1691</v>
      </c>
      <c r="D216" s="180"/>
      <c r="E216" s="181"/>
      <c r="F216" s="181"/>
      <c r="G216" s="181"/>
      <c r="H216" s="682"/>
      <c r="I216" s="181"/>
      <c r="J216" s="682"/>
      <c r="K216" s="181"/>
      <c r="L216" s="181"/>
      <c r="M216" s="682"/>
      <c r="N216" s="181"/>
      <c r="O216" s="682"/>
      <c r="P216" s="181"/>
      <c r="Q216" s="181"/>
      <c r="R216" s="181"/>
      <c r="S216" s="181"/>
      <c r="T216" s="181"/>
      <c r="U216" s="181"/>
      <c r="V216" s="683"/>
      <c r="W216" s="181"/>
      <c r="X216" s="683"/>
      <c r="Y216" s="683"/>
      <c r="Z216" s="181"/>
      <c r="AA216" s="181"/>
      <c r="AB216" s="181"/>
      <c r="AC216" s="183"/>
      <c r="AD216" s="183"/>
      <c r="AE216" s="183"/>
      <c r="AF216" s="183"/>
      <c r="AG216" s="183"/>
      <c r="AH216" s="183"/>
      <c r="AI216" s="191">
        <f>G216*S216</f>
        <v>0</v>
      </c>
      <c r="AJ216" s="191">
        <f>G216*T216</f>
        <v>0</v>
      </c>
      <c r="AK216" s="191">
        <f>R216*S216</f>
        <v>0</v>
      </c>
      <c r="AL216" s="191">
        <f>R216*T216</f>
        <v>0</v>
      </c>
      <c r="AM216" s="191">
        <f t="shared" ref="AM216:AN218" si="256">AK216-AI216</f>
        <v>0</v>
      </c>
      <c r="AN216" s="191">
        <f t="shared" si="256"/>
        <v>0</v>
      </c>
      <c r="AO216" s="193">
        <f>Z216*S216</f>
        <v>0</v>
      </c>
      <c r="AP216" s="193">
        <f>Z216*T216</f>
        <v>0</v>
      </c>
      <c r="AQ216" s="193">
        <f>AA216</f>
        <v>0</v>
      </c>
      <c r="AR216" s="193">
        <f>W216*S216</f>
        <v>0</v>
      </c>
      <c r="AS216" s="193">
        <f>W216*T216</f>
        <v>0</v>
      </c>
      <c r="AT216" s="197"/>
      <c r="AU216" s="197"/>
      <c r="AV216" s="191"/>
      <c r="AW216" s="236"/>
      <c r="AX216" s="236"/>
      <c r="AY216" s="619"/>
      <c r="AZ216" s="619"/>
      <c r="BA216" s="619"/>
    </row>
    <row r="217" spans="2:53" s="69" customFormat="1" ht="33">
      <c r="B217" s="660"/>
      <c r="C217" s="208" t="s">
        <v>1309</v>
      </c>
      <c r="D217" s="205"/>
      <c r="E217" s="206"/>
      <c r="F217" s="206"/>
      <c r="G217" s="206"/>
      <c r="H217" s="696"/>
      <c r="I217" s="206"/>
      <c r="J217" s="696"/>
      <c r="K217" s="206"/>
      <c r="L217" s="206"/>
      <c r="M217" s="696"/>
      <c r="N217" s="206"/>
      <c r="O217" s="696"/>
      <c r="P217" s="206"/>
      <c r="Q217" s="206"/>
      <c r="R217" s="206"/>
      <c r="S217" s="206"/>
      <c r="T217" s="206"/>
      <c r="U217" s="206"/>
      <c r="V217" s="697"/>
      <c r="W217" s="206"/>
      <c r="X217" s="697"/>
      <c r="Y217" s="697"/>
      <c r="Z217" s="206"/>
      <c r="AA217" s="206"/>
      <c r="AB217" s="206"/>
      <c r="AC217" s="207"/>
      <c r="AD217" s="207"/>
      <c r="AE217" s="207"/>
      <c r="AF217" s="207"/>
      <c r="AG217" s="207"/>
      <c r="AH217" s="207"/>
      <c r="AI217" s="191">
        <f>G217*S217</f>
        <v>0</v>
      </c>
      <c r="AJ217" s="191">
        <f>G217*T217</f>
        <v>0</v>
      </c>
      <c r="AK217" s="191">
        <f>R217*S217</f>
        <v>0</v>
      </c>
      <c r="AL217" s="191">
        <f>R217*T217</f>
        <v>0</v>
      </c>
      <c r="AM217" s="191">
        <f t="shared" si="256"/>
        <v>0</v>
      </c>
      <c r="AN217" s="191">
        <f t="shared" si="256"/>
        <v>0</v>
      </c>
      <c r="AO217" s="193">
        <f>Z217*S217</f>
        <v>0</v>
      </c>
      <c r="AP217" s="193">
        <f>Z217*T217</f>
        <v>0</v>
      </c>
      <c r="AQ217" s="193">
        <f>AA217</f>
        <v>0</v>
      </c>
      <c r="AR217" s="193">
        <f>W217*S217</f>
        <v>0</v>
      </c>
      <c r="AS217" s="193">
        <f>W217*T217</f>
        <v>0</v>
      </c>
      <c r="AT217" s="197"/>
      <c r="AU217" s="197"/>
      <c r="AV217" s="191"/>
      <c r="AW217" s="236"/>
      <c r="AX217" s="236"/>
      <c r="AY217" s="619"/>
      <c r="AZ217" s="619"/>
      <c r="BA217" s="619"/>
    </row>
    <row r="218" spans="2:53" s="69" customFormat="1" ht="58.5">
      <c r="B218" s="660">
        <f>B213+1</f>
        <v>140</v>
      </c>
      <c r="C218" s="185" t="s">
        <v>266</v>
      </c>
      <c r="D218" s="186" t="s">
        <v>267</v>
      </c>
      <c r="E218" s="660" t="s">
        <v>1011</v>
      </c>
      <c r="F218" s="660">
        <v>13</v>
      </c>
      <c r="G218" s="187">
        <v>7253</v>
      </c>
      <c r="H218" s="688">
        <v>0.1</v>
      </c>
      <c r="I218" s="187">
        <f>G218*H218</f>
        <v>725.30000000000007</v>
      </c>
      <c r="J218" s="674"/>
      <c r="K218" s="660"/>
      <c r="L218" s="660"/>
      <c r="M218" s="674"/>
      <c r="N218" s="660"/>
      <c r="O218" s="674"/>
      <c r="P218" s="660"/>
      <c r="Q218" s="660"/>
      <c r="R218" s="187">
        <f>G218+I218+K218+L218+N218+P218+Q218</f>
        <v>7978.3</v>
      </c>
      <c r="S218" s="187">
        <v>1</v>
      </c>
      <c r="T218" s="187"/>
      <c r="U218" s="660"/>
      <c r="V218" s="674"/>
      <c r="W218" s="660"/>
      <c r="X218" s="674">
        <v>34</v>
      </c>
      <c r="Y218" s="688">
        <v>0.3</v>
      </c>
      <c r="Z218" s="187">
        <f>R218*Y218</f>
        <v>2393.4899999999998</v>
      </c>
      <c r="AA218" s="187"/>
      <c r="AB218" s="187">
        <f>(R218+Z218)*S218+AA218</f>
        <v>10371.790000000001</v>
      </c>
      <c r="AC218" s="689">
        <f>AF218</f>
        <v>9628.2099999999991</v>
      </c>
      <c r="AD218" s="689">
        <f>AB218+AC218</f>
        <v>20000</v>
      </c>
      <c r="AE218" s="190">
        <f>20000*S218</f>
        <v>20000</v>
      </c>
      <c r="AF218" s="190">
        <f>AE218-AB218</f>
        <v>9628.2099999999991</v>
      </c>
      <c r="AG218" s="689">
        <f>8000*S218</f>
        <v>8000</v>
      </c>
      <c r="AH218" s="190">
        <f>AG218-(R218+Z218)*S218</f>
        <v>-2371.7900000000009</v>
      </c>
      <c r="AI218" s="191">
        <f>G218*S218</f>
        <v>7253</v>
      </c>
      <c r="AJ218" s="191">
        <f>G218*T218</f>
        <v>0</v>
      </c>
      <c r="AK218" s="191">
        <f>R218*S218</f>
        <v>7978.3</v>
      </c>
      <c r="AL218" s="191">
        <f>R218*T218</f>
        <v>0</v>
      </c>
      <c r="AM218" s="191">
        <f t="shared" si="256"/>
        <v>725.30000000000018</v>
      </c>
      <c r="AN218" s="191">
        <f t="shared" si="256"/>
        <v>0</v>
      </c>
      <c r="AO218" s="193">
        <f>Z218*S218</f>
        <v>2393.4899999999998</v>
      </c>
      <c r="AP218" s="193">
        <f>Z218*T218</f>
        <v>0</v>
      </c>
      <c r="AQ218" s="193">
        <f>AA218</f>
        <v>0</v>
      </c>
      <c r="AR218" s="193">
        <f>W218*S218</f>
        <v>0</v>
      </c>
      <c r="AS218" s="193">
        <f>W218*T218</f>
        <v>0</v>
      </c>
      <c r="AT218" s="197">
        <f t="shared" si="199"/>
        <v>7978.3</v>
      </c>
      <c r="AU218" s="197">
        <f t="shared" si="199"/>
        <v>0</v>
      </c>
      <c r="AV218" s="191"/>
      <c r="AW218" s="236">
        <f>R218*S218</f>
        <v>7978.3</v>
      </c>
      <c r="AX218" s="236"/>
      <c r="AY218" s="619"/>
      <c r="AZ218" s="619"/>
      <c r="BA218" s="619"/>
    </row>
    <row r="219" spans="2:53" s="69" customFormat="1" ht="33">
      <c r="B219" s="660">
        <f>B218+1</f>
        <v>141</v>
      </c>
      <c r="C219" s="185" t="s">
        <v>1012</v>
      </c>
      <c r="D219" s="186"/>
      <c r="E219" s="660" t="s">
        <v>1667</v>
      </c>
      <c r="F219" s="660">
        <v>10</v>
      </c>
      <c r="G219" s="187">
        <v>5815</v>
      </c>
      <c r="H219" s="688"/>
      <c r="I219" s="660"/>
      <c r="J219" s="674"/>
      <c r="K219" s="660"/>
      <c r="L219" s="660"/>
      <c r="M219" s="674"/>
      <c r="N219" s="660"/>
      <c r="O219" s="674"/>
      <c r="P219" s="660"/>
      <c r="Q219" s="660"/>
      <c r="R219" s="187">
        <f>G219+I219+K219+L219+N219+P219+Q219</f>
        <v>5815</v>
      </c>
      <c r="S219" s="187">
        <v>0.5</v>
      </c>
      <c r="T219" s="187"/>
      <c r="U219" s="660"/>
      <c r="V219" s="674"/>
      <c r="W219" s="660"/>
      <c r="X219" s="674">
        <v>0</v>
      </c>
      <c r="Y219" s="688">
        <v>0</v>
      </c>
      <c r="Z219" s="187">
        <f>R219*Y219</f>
        <v>0</v>
      </c>
      <c r="AA219" s="187">
        <f>AH219</f>
        <v>1092.5</v>
      </c>
      <c r="AB219" s="187">
        <f>(R219+Z219)*S219+AA219</f>
        <v>4000</v>
      </c>
      <c r="AC219" s="689">
        <f>AF219</f>
        <v>6000</v>
      </c>
      <c r="AD219" s="689">
        <f>AB219+AC219</f>
        <v>10000</v>
      </c>
      <c r="AE219" s="190">
        <f>20000*S219</f>
        <v>10000</v>
      </c>
      <c r="AF219" s="190">
        <f>AE219-AB219</f>
        <v>6000</v>
      </c>
      <c r="AG219" s="689">
        <f>8000*S219</f>
        <v>4000</v>
      </c>
      <c r="AH219" s="190">
        <f>AG219-(R219+Z219)*S219</f>
        <v>1092.5</v>
      </c>
      <c r="AI219" s="191"/>
      <c r="AJ219" s="191"/>
      <c r="AK219" s="191"/>
      <c r="AL219" s="191"/>
      <c r="AM219" s="191"/>
      <c r="AN219" s="191"/>
      <c r="AO219" s="193"/>
      <c r="AP219" s="193"/>
      <c r="AQ219" s="193"/>
      <c r="AR219" s="193"/>
      <c r="AS219" s="193"/>
      <c r="AT219" s="197"/>
      <c r="AU219" s="197"/>
      <c r="AV219" s="191"/>
      <c r="AW219" s="236">
        <f>R219*S219</f>
        <v>2907.5</v>
      </c>
      <c r="AX219" s="236"/>
      <c r="AY219" s="619"/>
      <c r="AZ219" s="619"/>
      <c r="BA219" s="619"/>
    </row>
    <row r="220" spans="2:53" s="69" customFormat="1" ht="58.5">
      <c r="B220" s="660">
        <f>B219+1</f>
        <v>142</v>
      </c>
      <c r="C220" s="185" t="s">
        <v>1012</v>
      </c>
      <c r="D220" s="186" t="s">
        <v>1289</v>
      </c>
      <c r="E220" s="660" t="s">
        <v>1013</v>
      </c>
      <c r="F220" s="660">
        <v>12</v>
      </c>
      <c r="G220" s="187">
        <v>6773</v>
      </c>
      <c r="H220" s="687"/>
      <c r="I220" s="187"/>
      <c r="J220" s="687"/>
      <c r="K220" s="187"/>
      <c r="L220" s="187"/>
      <c r="M220" s="687"/>
      <c r="N220" s="187"/>
      <c r="O220" s="687"/>
      <c r="P220" s="187"/>
      <c r="Q220" s="187"/>
      <c r="R220" s="187">
        <f>G220+I220+K220+L220+N220+P220+Q220</f>
        <v>6773</v>
      </c>
      <c r="S220" s="187"/>
      <c r="T220" s="187">
        <v>0.5</v>
      </c>
      <c r="U220" s="187"/>
      <c r="V220" s="687"/>
      <c r="W220" s="187"/>
      <c r="X220" s="674">
        <v>43</v>
      </c>
      <c r="Y220" s="688">
        <v>0.3</v>
      </c>
      <c r="Z220" s="187">
        <f>R220*Y220</f>
        <v>2031.8999999999999</v>
      </c>
      <c r="AA220" s="187"/>
      <c r="AB220" s="187">
        <f>(R220+Z220)*T220+AA220</f>
        <v>4402.45</v>
      </c>
      <c r="AC220" s="689">
        <f>AF220</f>
        <v>5597.55</v>
      </c>
      <c r="AD220" s="689">
        <f>AB220+AC220</f>
        <v>10000</v>
      </c>
      <c r="AE220" s="190">
        <f>20000*T220</f>
        <v>10000</v>
      </c>
      <c r="AF220" s="190">
        <f>AE220-AB220</f>
        <v>5597.55</v>
      </c>
      <c r="AG220" s="689">
        <f>8000*T220</f>
        <v>4000</v>
      </c>
      <c r="AH220" s="190">
        <f>AG220-(R220+Z220)*T220</f>
        <v>-402.44999999999982</v>
      </c>
      <c r="AI220" s="191">
        <f>G220*S220</f>
        <v>0</v>
      </c>
      <c r="AJ220" s="191">
        <f>G220*T220</f>
        <v>3386.5</v>
      </c>
      <c r="AK220" s="191">
        <f>R220*S220</f>
        <v>0</v>
      </c>
      <c r="AL220" s="191">
        <f>R220*T220</f>
        <v>3386.5</v>
      </c>
      <c r="AM220" s="191">
        <f>AK220-AI220</f>
        <v>0</v>
      </c>
      <c r="AN220" s="191">
        <f>AL220-AJ220</f>
        <v>0</v>
      </c>
      <c r="AO220" s="193">
        <f>Z220*S220</f>
        <v>0</v>
      </c>
      <c r="AP220" s="193">
        <f>Z220*T220</f>
        <v>1015.9499999999999</v>
      </c>
      <c r="AQ220" s="193">
        <f>AA220</f>
        <v>0</v>
      </c>
      <c r="AR220" s="193">
        <f>W220*S220</f>
        <v>0</v>
      </c>
      <c r="AS220" s="193">
        <f>W220*T220</f>
        <v>0</v>
      </c>
      <c r="AT220" s="197">
        <f t="shared" si="199"/>
        <v>0</v>
      </c>
      <c r="AU220" s="197">
        <f t="shared" si="199"/>
        <v>3386.5</v>
      </c>
      <c r="AV220" s="191"/>
      <c r="AW220" s="236">
        <f>R220*T220</f>
        <v>3386.5</v>
      </c>
      <c r="AX220" s="236"/>
      <c r="AY220" s="619"/>
      <c r="AZ220" s="619"/>
      <c r="BA220" s="619"/>
    </row>
    <row r="221" spans="2:53" s="69" customFormat="1" ht="31.5">
      <c r="B221" s="660"/>
      <c r="C221" s="168" t="s">
        <v>1662</v>
      </c>
      <c r="D221" s="195"/>
      <c r="E221" s="181"/>
      <c r="F221" s="181"/>
      <c r="G221" s="171">
        <f>SUM(G218:G220)</f>
        <v>19841</v>
      </c>
      <c r="H221" s="703"/>
      <c r="I221" s="171">
        <f>SUM(I218:I220)</f>
        <v>725.30000000000007</v>
      </c>
      <c r="J221" s="682"/>
      <c r="K221" s="181"/>
      <c r="L221" s="181"/>
      <c r="M221" s="682"/>
      <c r="N221" s="181"/>
      <c r="O221" s="682"/>
      <c r="P221" s="181"/>
      <c r="Q221" s="181"/>
      <c r="R221" s="171">
        <f>SUM(R218:R220)</f>
        <v>20566.3</v>
      </c>
      <c r="S221" s="171">
        <f>SUM(S218:S220)</f>
        <v>1.5</v>
      </c>
      <c r="T221" s="171">
        <f>SUM(T218:T220)</f>
        <v>0.5</v>
      </c>
      <c r="U221" s="171"/>
      <c r="V221" s="693"/>
      <c r="W221" s="171"/>
      <c r="X221" s="693"/>
      <c r="Y221" s="693"/>
      <c r="Z221" s="171">
        <f>SUM(Z218:Z220)</f>
        <v>4425.3899999999994</v>
      </c>
      <c r="AA221" s="171">
        <f t="shared" ref="AA221:AV221" si="257">SUM(AA218:AA220)</f>
        <v>1092.5</v>
      </c>
      <c r="AB221" s="171">
        <f>SUM(AB218:AB220)</f>
        <v>18774.240000000002</v>
      </c>
      <c r="AC221" s="171">
        <f>SUM(AC218:AC220)</f>
        <v>21225.759999999998</v>
      </c>
      <c r="AD221" s="171">
        <f>SUM(AD218:AD220)</f>
        <v>40000</v>
      </c>
      <c r="AE221" s="171">
        <f t="shared" si="257"/>
        <v>40000</v>
      </c>
      <c r="AF221" s="171">
        <f t="shared" si="257"/>
        <v>21225.759999999998</v>
      </c>
      <c r="AG221" s="171">
        <f>SUM(AG218:AG220)</f>
        <v>16000</v>
      </c>
      <c r="AH221" s="171">
        <f t="shared" si="257"/>
        <v>-1681.7400000000007</v>
      </c>
      <c r="AI221" s="171">
        <f t="shared" si="257"/>
        <v>7253</v>
      </c>
      <c r="AJ221" s="171">
        <f t="shared" si="257"/>
        <v>3386.5</v>
      </c>
      <c r="AK221" s="171">
        <f t="shared" si="257"/>
        <v>7978.3</v>
      </c>
      <c r="AL221" s="171">
        <f t="shared" si="257"/>
        <v>3386.5</v>
      </c>
      <c r="AM221" s="171">
        <f t="shared" si="257"/>
        <v>725.30000000000018</v>
      </c>
      <c r="AN221" s="171">
        <f t="shared" si="257"/>
        <v>0</v>
      </c>
      <c r="AO221" s="171">
        <f t="shared" si="257"/>
        <v>2393.4899999999998</v>
      </c>
      <c r="AP221" s="171">
        <f t="shared" si="257"/>
        <v>1015.9499999999999</v>
      </c>
      <c r="AQ221" s="171">
        <f t="shared" si="257"/>
        <v>0</v>
      </c>
      <c r="AR221" s="171">
        <f t="shared" si="257"/>
        <v>0</v>
      </c>
      <c r="AS221" s="171">
        <f t="shared" si="257"/>
        <v>0</v>
      </c>
      <c r="AT221" s="171">
        <f t="shared" si="257"/>
        <v>7978.3</v>
      </c>
      <c r="AU221" s="171">
        <f t="shared" si="257"/>
        <v>3386.5</v>
      </c>
      <c r="AV221" s="171">
        <f t="shared" si="257"/>
        <v>0</v>
      </c>
      <c r="AW221" s="171">
        <f>SUM(AW218:AW220)</f>
        <v>14272.3</v>
      </c>
      <c r="AX221" s="171">
        <f>SUM(AX218:AX220)</f>
        <v>0</v>
      </c>
      <c r="AY221" s="619"/>
      <c r="AZ221" s="619"/>
      <c r="BA221" s="619"/>
    </row>
    <row r="222" spans="2:53" s="69" customFormat="1" ht="33">
      <c r="B222" s="660"/>
      <c r="C222" s="208" t="s">
        <v>1508</v>
      </c>
      <c r="D222" s="180"/>
      <c r="E222" s="181"/>
      <c r="F222" s="181"/>
      <c r="G222" s="181"/>
      <c r="H222" s="682"/>
      <c r="I222" s="181"/>
      <c r="J222" s="682"/>
      <c r="K222" s="181"/>
      <c r="L222" s="181"/>
      <c r="M222" s="682"/>
      <c r="N222" s="181"/>
      <c r="O222" s="682"/>
      <c r="P222" s="181"/>
      <c r="Q222" s="181"/>
      <c r="R222" s="181"/>
      <c r="S222" s="181"/>
      <c r="T222" s="181"/>
      <c r="U222" s="181"/>
      <c r="V222" s="683"/>
      <c r="W222" s="181"/>
      <c r="X222" s="683"/>
      <c r="Y222" s="683"/>
      <c r="Z222" s="181"/>
      <c r="AA222" s="181"/>
      <c r="AB222" s="181"/>
      <c r="AC222" s="183"/>
      <c r="AD222" s="183"/>
      <c r="AE222" s="183"/>
      <c r="AF222" s="183"/>
      <c r="AG222" s="183"/>
      <c r="AH222" s="183"/>
      <c r="AI222" s="191"/>
      <c r="AJ222" s="191"/>
      <c r="AK222" s="191"/>
      <c r="AL222" s="191"/>
      <c r="AM222" s="191"/>
      <c r="AN222" s="191"/>
      <c r="AO222" s="193"/>
      <c r="AP222" s="193"/>
      <c r="AQ222" s="193"/>
      <c r="AR222" s="193"/>
      <c r="AS222" s="193"/>
      <c r="AT222" s="197"/>
      <c r="AU222" s="197"/>
      <c r="AV222" s="191"/>
      <c r="AW222" s="236"/>
      <c r="AX222" s="236"/>
      <c r="AY222" s="619"/>
      <c r="AZ222" s="619"/>
      <c r="BA222" s="619"/>
    </row>
    <row r="223" spans="2:53" s="69" customFormat="1" ht="63">
      <c r="B223" s="660">
        <f>B220+1</f>
        <v>143</v>
      </c>
      <c r="C223" s="185" t="s">
        <v>1050</v>
      </c>
      <c r="D223" s="186" t="s">
        <v>1293</v>
      </c>
      <c r="E223" s="660" t="s">
        <v>1085</v>
      </c>
      <c r="F223" s="660">
        <v>9</v>
      </c>
      <c r="G223" s="187">
        <v>5527</v>
      </c>
      <c r="H223" s="688">
        <v>0.1</v>
      </c>
      <c r="I223" s="187">
        <f>G223*H223</f>
        <v>552.70000000000005</v>
      </c>
      <c r="J223" s="692"/>
      <c r="K223" s="194"/>
      <c r="L223" s="194"/>
      <c r="M223" s="692"/>
      <c r="N223" s="194"/>
      <c r="O223" s="692"/>
      <c r="P223" s="194"/>
      <c r="Q223" s="194"/>
      <c r="R223" s="187">
        <f>G223+I223+K223+L223+N223+P223+Q223</f>
        <v>6079.7</v>
      </c>
      <c r="S223" s="187">
        <v>1</v>
      </c>
      <c r="T223" s="194"/>
      <c r="U223" s="194"/>
      <c r="V223" s="692"/>
      <c r="W223" s="194"/>
      <c r="X223" s="674">
        <v>33</v>
      </c>
      <c r="Y223" s="688">
        <v>0.3</v>
      </c>
      <c r="Z223" s="187">
        <f>R223*Y223</f>
        <v>1823.9099999999999</v>
      </c>
      <c r="AA223" s="187">
        <f t="shared" ref="AA223:AA230" si="258">AH223</f>
        <v>96.390000000000327</v>
      </c>
      <c r="AB223" s="187">
        <f t="shared" ref="AB223:AB230" si="259">(R223+Z223)*S223+AA223</f>
        <v>8000</v>
      </c>
      <c r="AC223" s="689">
        <f t="shared" ref="AC223:AC230" si="260">AF223</f>
        <v>5500</v>
      </c>
      <c r="AD223" s="689">
        <f t="shared" ref="AD223:AD230" si="261">AB223+AC223</f>
        <v>13500</v>
      </c>
      <c r="AE223" s="190">
        <f t="shared" ref="AE223:AE230" si="262">13500*S223</f>
        <v>13500</v>
      </c>
      <c r="AF223" s="190">
        <f t="shared" ref="AF223:AF230" si="263">AE223-AB223</f>
        <v>5500</v>
      </c>
      <c r="AG223" s="689">
        <f>8000*S223</f>
        <v>8000</v>
      </c>
      <c r="AH223" s="190">
        <f>AG223-(R223+Z223)*S223</f>
        <v>96.390000000000327</v>
      </c>
      <c r="AI223" s="191">
        <f t="shared" ref="AI223:AI230" si="264">G223*S223</f>
        <v>5527</v>
      </c>
      <c r="AJ223" s="191">
        <f t="shared" ref="AJ223:AJ230" si="265">G223*T223</f>
        <v>0</v>
      </c>
      <c r="AK223" s="191">
        <f t="shared" ref="AK223:AK230" si="266">R223*S223</f>
        <v>6079.7</v>
      </c>
      <c r="AL223" s="191">
        <f t="shared" ref="AL223:AL230" si="267">R223*T223</f>
        <v>0</v>
      </c>
      <c r="AM223" s="191">
        <f t="shared" ref="AM223:AN230" si="268">AK223-AI223</f>
        <v>552.69999999999982</v>
      </c>
      <c r="AN223" s="191">
        <f t="shared" si="268"/>
        <v>0</v>
      </c>
      <c r="AO223" s="193">
        <f t="shared" ref="AO223:AO230" si="269">Z223*S223</f>
        <v>1823.9099999999999</v>
      </c>
      <c r="AP223" s="193">
        <f t="shared" ref="AP223:AP230" si="270">Z223*T223</f>
        <v>0</v>
      </c>
      <c r="AQ223" s="193">
        <f t="shared" ref="AQ223:AQ230" si="271">AA223</f>
        <v>96.390000000000327</v>
      </c>
      <c r="AR223" s="193">
        <f t="shared" ref="AR223:AR230" si="272">W223*S223</f>
        <v>0</v>
      </c>
      <c r="AS223" s="193">
        <f t="shared" ref="AS223:AS230" si="273">W223*T223</f>
        <v>0</v>
      </c>
      <c r="AT223" s="197">
        <f t="shared" si="199"/>
        <v>6079.7</v>
      </c>
      <c r="AU223" s="197">
        <f t="shared" si="199"/>
        <v>0</v>
      </c>
      <c r="AV223" s="191"/>
      <c r="AW223" s="236">
        <f t="shared" ref="AW223:AW229" si="274">R223*S223</f>
        <v>6079.7</v>
      </c>
      <c r="AX223" s="236"/>
      <c r="AY223" s="619"/>
      <c r="AZ223" s="619"/>
      <c r="BA223" s="619"/>
    </row>
    <row r="224" spans="2:53" s="69" customFormat="1" ht="63">
      <c r="B224" s="660">
        <f>1+B223</f>
        <v>144</v>
      </c>
      <c r="C224" s="185" t="s">
        <v>1062</v>
      </c>
      <c r="D224" s="186" t="s">
        <v>1291</v>
      </c>
      <c r="E224" s="660" t="s">
        <v>1086</v>
      </c>
      <c r="F224" s="660">
        <v>9</v>
      </c>
      <c r="G224" s="187">
        <v>5527</v>
      </c>
      <c r="H224" s="687"/>
      <c r="I224" s="187"/>
      <c r="J224" s="687"/>
      <c r="K224" s="187"/>
      <c r="L224" s="187"/>
      <c r="M224" s="687"/>
      <c r="N224" s="187"/>
      <c r="O224" s="687"/>
      <c r="P224" s="187"/>
      <c r="Q224" s="187"/>
      <c r="R224" s="187">
        <f t="shared" ref="R224:R230" si="275">G224+I224+K224+L224+N224+P224+Q224</f>
        <v>5527</v>
      </c>
      <c r="S224" s="187">
        <v>1</v>
      </c>
      <c r="T224" s="194"/>
      <c r="U224" s="194"/>
      <c r="V224" s="692"/>
      <c r="W224" s="194"/>
      <c r="X224" s="674">
        <v>19</v>
      </c>
      <c r="Y224" s="688">
        <v>0.2</v>
      </c>
      <c r="Z224" s="187">
        <f t="shared" ref="Z224:Z230" si="276">R224*Y224</f>
        <v>1105.4000000000001</v>
      </c>
      <c r="AA224" s="187">
        <f t="shared" si="258"/>
        <v>1367.6000000000004</v>
      </c>
      <c r="AB224" s="187">
        <f t="shared" si="259"/>
        <v>8000</v>
      </c>
      <c r="AC224" s="689">
        <f t="shared" si="260"/>
        <v>5500</v>
      </c>
      <c r="AD224" s="689">
        <f t="shared" si="261"/>
        <v>13500</v>
      </c>
      <c r="AE224" s="190">
        <f t="shared" si="262"/>
        <v>13500</v>
      </c>
      <c r="AF224" s="190">
        <f t="shared" si="263"/>
        <v>5500</v>
      </c>
      <c r="AG224" s="689">
        <f t="shared" ref="AG224:AG230" si="277">8000*S224</f>
        <v>8000</v>
      </c>
      <c r="AH224" s="190">
        <f t="shared" ref="AH224:AH230" si="278">AG224-(R224+Z224)*S224</f>
        <v>1367.6000000000004</v>
      </c>
      <c r="AI224" s="191">
        <f t="shared" si="264"/>
        <v>5527</v>
      </c>
      <c r="AJ224" s="191">
        <f t="shared" si="265"/>
        <v>0</v>
      </c>
      <c r="AK224" s="191">
        <f t="shared" si="266"/>
        <v>5527</v>
      </c>
      <c r="AL224" s="191">
        <f t="shared" si="267"/>
        <v>0</v>
      </c>
      <c r="AM224" s="191">
        <f t="shared" si="268"/>
        <v>0</v>
      </c>
      <c r="AN224" s="191">
        <f t="shared" si="268"/>
        <v>0</v>
      </c>
      <c r="AO224" s="193">
        <f t="shared" si="269"/>
        <v>1105.4000000000001</v>
      </c>
      <c r="AP224" s="193">
        <f t="shared" si="270"/>
        <v>0</v>
      </c>
      <c r="AQ224" s="193">
        <f t="shared" si="271"/>
        <v>1367.6000000000004</v>
      </c>
      <c r="AR224" s="193">
        <f t="shared" si="272"/>
        <v>0</v>
      </c>
      <c r="AS224" s="193">
        <f t="shared" si="273"/>
        <v>0</v>
      </c>
      <c r="AT224" s="197">
        <f t="shared" si="199"/>
        <v>5527</v>
      </c>
      <c r="AU224" s="197">
        <f t="shared" si="199"/>
        <v>0</v>
      </c>
      <c r="AV224" s="191"/>
      <c r="AW224" s="236">
        <f t="shared" si="274"/>
        <v>5527</v>
      </c>
      <c r="AX224" s="236"/>
      <c r="AY224" s="619"/>
      <c r="AZ224" s="619"/>
      <c r="BA224" s="619"/>
    </row>
    <row r="225" spans="2:53" s="69" customFormat="1" ht="63">
      <c r="B225" s="660">
        <f>1+B224</f>
        <v>145</v>
      </c>
      <c r="C225" s="185" t="s">
        <v>1062</v>
      </c>
      <c r="D225" s="186" t="s">
        <v>1674</v>
      </c>
      <c r="E225" s="660" t="s">
        <v>1055</v>
      </c>
      <c r="F225" s="660">
        <v>6</v>
      </c>
      <c r="G225" s="187">
        <v>5527</v>
      </c>
      <c r="H225" s="687"/>
      <c r="I225" s="187"/>
      <c r="J225" s="687"/>
      <c r="K225" s="187"/>
      <c r="L225" s="187"/>
      <c r="M225" s="687"/>
      <c r="N225" s="187"/>
      <c r="O225" s="687"/>
      <c r="P225" s="187"/>
      <c r="Q225" s="187"/>
      <c r="R225" s="187">
        <f t="shared" si="275"/>
        <v>5527</v>
      </c>
      <c r="S225" s="187">
        <v>1</v>
      </c>
      <c r="T225" s="194"/>
      <c r="U225" s="194"/>
      <c r="V225" s="692"/>
      <c r="W225" s="194"/>
      <c r="X225" s="674">
        <v>29</v>
      </c>
      <c r="Y225" s="688">
        <v>0.3</v>
      </c>
      <c r="Z225" s="187">
        <f t="shared" si="276"/>
        <v>1658.1</v>
      </c>
      <c r="AA225" s="187">
        <f t="shared" si="258"/>
        <v>814.89999999999964</v>
      </c>
      <c r="AB225" s="187">
        <f t="shared" si="259"/>
        <v>8000</v>
      </c>
      <c r="AC225" s="689">
        <f t="shared" si="260"/>
        <v>5500</v>
      </c>
      <c r="AD225" s="689">
        <f t="shared" si="261"/>
        <v>13500</v>
      </c>
      <c r="AE225" s="190">
        <f t="shared" si="262"/>
        <v>13500</v>
      </c>
      <c r="AF225" s="190">
        <f t="shared" si="263"/>
        <v>5500</v>
      </c>
      <c r="AG225" s="689">
        <f t="shared" si="277"/>
        <v>8000</v>
      </c>
      <c r="AH225" s="190">
        <f>AG225-(R225+Z225)*S225</f>
        <v>814.89999999999964</v>
      </c>
      <c r="AI225" s="191"/>
      <c r="AJ225" s="191"/>
      <c r="AK225" s="191"/>
      <c r="AL225" s="191"/>
      <c r="AM225" s="191"/>
      <c r="AN225" s="191"/>
      <c r="AO225" s="193"/>
      <c r="AP225" s="193"/>
      <c r="AQ225" s="193"/>
      <c r="AR225" s="193"/>
      <c r="AS225" s="193"/>
      <c r="AT225" s="197"/>
      <c r="AU225" s="197"/>
      <c r="AV225" s="191"/>
      <c r="AW225" s="236">
        <f t="shared" si="274"/>
        <v>5527</v>
      </c>
      <c r="AX225" s="236"/>
      <c r="AY225" s="619"/>
      <c r="AZ225" s="619"/>
      <c r="BA225" s="619"/>
    </row>
    <row r="226" spans="2:53" s="69" customFormat="1" ht="63">
      <c r="B226" s="660">
        <f>B225+1</f>
        <v>146</v>
      </c>
      <c r="C226" s="185" t="s">
        <v>1035</v>
      </c>
      <c r="D226" s="186" t="s">
        <v>1087</v>
      </c>
      <c r="E226" s="194" t="s">
        <v>1088</v>
      </c>
      <c r="F226" s="660">
        <v>9</v>
      </c>
      <c r="G226" s="187">
        <v>5527</v>
      </c>
      <c r="H226" s="687"/>
      <c r="I226" s="187"/>
      <c r="J226" s="687"/>
      <c r="K226" s="187"/>
      <c r="L226" s="187"/>
      <c r="M226" s="687"/>
      <c r="N226" s="187"/>
      <c r="O226" s="687"/>
      <c r="P226" s="187"/>
      <c r="Q226" s="187"/>
      <c r="R226" s="187">
        <f t="shared" si="275"/>
        <v>5527</v>
      </c>
      <c r="S226" s="187">
        <v>1</v>
      </c>
      <c r="T226" s="187"/>
      <c r="U226" s="187"/>
      <c r="V226" s="687"/>
      <c r="W226" s="187"/>
      <c r="X226" s="674">
        <v>40</v>
      </c>
      <c r="Y226" s="688">
        <v>0.3</v>
      </c>
      <c r="Z226" s="187">
        <f t="shared" si="276"/>
        <v>1658.1</v>
      </c>
      <c r="AA226" s="187">
        <f t="shared" si="258"/>
        <v>814.89999999999964</v>
      </c>
      <c r="AB226" s="187">
        <f t="shared" si="259"/>
        <v>8000</v>
      </c>
      <c r="AC226" s="689">
        <f t="shared" si="260"/>
        <v>5500</v>
      </c>
      <c r="AD226" s="689">
        <f t="shared" si="261"/>
        <v>13500</v>
      </c>
      <c r="AE226" s="190">
        <f t="shared" si="262"/>
        <v>13500</v>
      </c>
      <c r="AF226" s="190">
        <f t="shared" si="263"/>
        <v>5500</v>
      </c>
      <c r="AG226" s="689">
        <f t="shared" si="277"/>
        <v>8000</v>
      </c>
      <c r="AH226" s="190">
        <f t="shared" si="278"/>
        <v>814.89999999999964</v>
      </c>
      <c r="AI226" s="191">
        <f t="shared" si="264"/>
        <v>5527</v>
      </c>
      <c r="AJ226" s="191">
        <f t="shared" si="265"/>
        <v>0</v>
      </c>
      <c r="AK226" s="191">
        <f t="shared" si="266"/>
        <v>5527</v>
      </c>
      <c r="AL226" s="191">
        <f t="shared" si="267"/>
        <v>0</v>
      </c>
      <c r="AM226" s="191">
        <f t="shared" si="268"/>
        <v>0</v>
      </c>
      <c r="AN226" s="191">
        <f t="shared" si="268"/>
        <v>0</v>
      </c>
      <c r="AO226" s="193">
        <f t="shared" si="269"/>
        <v>1658.1</v>
      </c>
      <c r="AP226" s="193">
        <f t="shared" si="270"/>
        <v>0</v>
      </c>
      <c r="AQ226" s="193">
        <f t="shared" si="271"/>
        <v>814.89999999999964</v>
      </c>
      <c r="AR226" s="193">
        <f t="shared" si="272"/>
        <v>0</v>
      </c>
      <c r="AS226" s="193">
        <f t="shared" si="273"/>
        <v>0</v>
      </c>
      <c r="AT226" s="197">
        <f t="shared" si="199"/>
        <v>5527</v>
      </c>
      <c r="AU226" s="197">
        <f t="shared" si="199"/>
        <v>0</v>
      </c>
      <c r="AV226" s="191"/>
      <c r="AW226" s="236">
        <f t="shared" si="274"/>
        <v>5527</v>
      </c>
      <c r="AX226" s="236"/>
      <c r="AY226" s="619"/>
      <c r="AZ226" s="619"/>
      <c r="BA226" s="619"/>
    </row>
    <row r="227" spans="2:53" s="69" customFormat="1" ht="63">
      <c r="B227" s="660">
        <f>1+B226</f>
        <v>147</v>
      </c>
      <c r="C227" s="185" t="s">
        <v>1035</v>
      </c>
      <c r="D227" s="186" t="s">
        <v>268</v>
      </c>
      <c r="E227" s="194" t="s">
        <v>1089</v>
      </c>
      <c r="F227" s="660">
        <v>9</v>
      </c>
      <c r="G227" s="187">
        <v>5527</v>
      </c>
      <c r="H227" s="687"/>
      <c r="I227" s="187"/>
      <c r="J227" s="687"/>
      <c r="K227" s="187"/>
      <c r="L227" s="187"/>
      <c r="M227" s="687"/>
      <c r="N227" s="187"/>
      <c r="O227" s="687"/>
      <c r="P227" s="187"/>
      <c r="Q227" s="187"/>
      <c r="R227" s="187">
        <f t="shared" si="275"/>
        <v>5527</v>
      </c>
      <c r="S227" s="187">
        <v>1</v>
      </c>
      <c r="T227" s="187"/>
      <c r="U227" s="187"/>
      <c r="V227" s="687"/>
      <c r="W227" s="187"/>
      <c r="X227" s="674">
        <v>38</v>
      </c>
      <c r="Y227" s="688">
        <v>0.3</v>
      </c>
      <c r="Z227" s="187">
        <f t="shared" si="276"/>
        <v>1658.1</v>
      </c>
      <c r="AA227" s="187">
        <f t="shared" si="258"/>
        <v>814.89999999999964</v>
      </c>
      <c r="AB227" s="187">
        <f t="shared" si="259"/>
        <v>8000</v>
      </c>
      <c r="AC227" s="689">
        <f t="shared" si="260"/>
        <v>5500</v>
      </c>
      <c r="AD227" s="689">
        <f t="shared" si="261"/>
        <v>13500</v>
      </c>
      <c r="AE227" s="190">
        <f t="shared" si="262"/>
        <v>13500</v>
      </c>
      <c r="AF227" s="190">
        <f t="shared" si="263"/>
        <v>5500</v>
      </c>
      <c r="AG227" s="689">
        <f t="shared" si="277"/>
        <v>8000</v>
      </c>
      <c r="AH227" s="190">
        <f t="shared" si="278"/>
        <v>814.89999999999964</v>
      </c>
      <c r="AI227" s="191">
        <f t="shared" si="264"/>
        <v>5527</v>
      </c>
      <c r="AJ227" s="191">
        <f t="shared" si="265"/>
        <v>0</v>
      </c>
      <c r="AK227" s="191">
        <f t="shared" si="266"/>
        <v>5527</v>
      </c>
      <c r="AL227" s="191">
        <f t="shared" si="267"/>
        <v>0</v>
      </c>
      <c r="AM227" s="191">
        <f t="shared" si="268"/>
        <v>0</v>
      </c>
      <c r="AN227" s="191">
        <f t="shared" si="268"/>
        <v>0</v>
      </c>
      <c r="AO227" s="193">
        <f t="shared" si="269"/>
        <v>1658.1</v>
      </c>
      <c r="AP227" s="193">
        <f t="shared" si="270"/>
        <v>0</v>
      </c>
      <c r="AQ227" s="193">
        <f t="shared" si="271"/>
        <v>814.89999999999964</v>
      </c>
      <c r="AR227" s="193">
        <f t="shared" si="272"/>
        <v>0</v>
      </c>
      <c r="AS227" s="193">
        <f t="shared" si="273"/>
        <v>0</v>
      </c>
      <c r="AT227" s="197">
        <f t="shared" si="199"/>
        <v>5527</v>
      </c>
      <c r="AU227" s="197">
        <f t="shared" si="199"/>
        <v>0</v>
      </c>
      <c r="AV227" s="191"/>
      <c r="AW227" s="236">
        <f t="shared" si="274"/>
        <v>5527</v>
      </c>
      <c r="AX227" s="236"/>
      <c r="AY227" s="619"/>
      <c r="AZ227" s="619"/>
      <c r="BA227" s="619"/>
    </row>
    <row r="228" spans="2:53" s="69" customFormat="1" ht="63">
      <c r="B228" s="660">
        <f>1+B227</f>
        <v>148</v>
      </c>
      <c r="C228" s="185" t="s">
        <v>1035</v>
      </c>
      <c r="D228" s="186" t="s">
        <v>1066</v>
      </c>
      <c r="E228" s="194" t="s">
        <v>269</v>
      </c>
      <c r="F228" s="660">
        <v>9</v>
      </c>
      <c r="G228" s="187">
        <v>5527</v>
      </c>
      <c r="H228" s="687"/>
      <c r="I228" s="187"/>
      <c r="J228" s="687"/>
      <c r="K228" s="187"/>
      <c r="L228" s="187"/>
      <c r="M228" s="687"/>
      <c r="N228" s="187"/>
      <c r="O228" s="687"/>
      <c r="P228" s="194"/>
      <c r="Q228" s="194"/>
      <c r="R228" s="187">
        <f t="shared" si="275"/>
        <v>5527</v>
      </c>
      <c r="S228" s="187">
        <v>1</v>
      </c>
      <c r="T228" s="187"/>
      <c r="U228" s="194"/>
      <c r="V228" s="692"/>
      <c r="W228" s="194"/>
      <c r="X228" s="674">
        <v>34</v>
      </c>
      <c r="Y228" s="688">
        <v>0.3</v>
      </c>
      <c r="Z228" s="187">
        <f t="shared" si="276"/>
        <v>1658.1</v>
      </c>
      <c r="AA228" s="187">
        <f t="shared" si="258"/>
        <v>814.89999999999964</v>
      </c>
      <c r="AB228" s="187">
        <f t="shared" si="259"/>
        <v>8000</v>
      </c>
      <c r="AC228" s="689">
        <f t="shared" si="260"/>
        <v>5500</v>
      </c>
      <c r="AD228" s="689">
        <f t="shared" si="261"/>
        <v>13500</v>
      </c>
      <c r="AE228" s="190">
        <f t="shared" si="262"/>
        <v>13500</v>
      </c>
      <c r="AF228" s="190">
        <f t="shared" si="263"/>
        <v>5500</v>
      </c>
      <c r="AG228" s="689">
        <f t="shared" si="277"/>
        <v>8000</v>
      </c>
      <c r="AH228" s="190">
        <f t="shared" si="278"/>
        <v>814.89999999999964</v>
      </c>
      <c r="AI228" s="191">
        <f t="shared" si="264"/>
        <v>5527</v>
      </c>
      <c r="AJ228" s="191">
        <f t="shared" si="265"/>
        <v>0</v>
      </c>
      <c r="AK228" s="191">
        <f t="shared" si="266"/>
        <v>5527</v>
      </c>
      <c r="AL228" s="191">
        <f t="shared" si="267"/>
        <v>0</v>
      </c>
      <c r="AM228" s="191">
        <f t="shared" si="268"/>
        <v>0</v>
      </c>
      <c r="AN228" s="191">
        <f t="shared" si="268"/>
        <v>0</v>
      </c>
      <c r="AO228" s="193">
        <f t="shared" si="269"/>
        <v>1658.1</v>
      </c>
      <c r="AP228" s="193">
        <f t="shared" si="270"/>
        <v>0</v>
      </c>
      <c r="AQ228" s="193">
        <f t="shared" si="271"/>
        <v>814.89999999999964</v>
      </c>
      <c r="AR228" s="193">
        <f t="shared" si="272"/>
        <v>0</v>
      </c>
      <c r="AS228" s="193">
        <f t="shared" si="273"/>
        <v>0</v>
      </c>
      <c r="AT228" s="197">
        <f t="shared" si="199"/>
        <v>5527</v>
      </c>
      <c r="AU228" s="197">
        <f t="shared" si="199"/>
        <v>0</v>
      </c>
      <c r="AV228" s="191"/>
      <c r="AW228" s="236">
        <f t="shared" si="274"/>
        <v>5527</v>
      </c>
      <c r="AX228" s="236"/>
      <c r="AY228" s="619"/>
      <c r="AZ228" s="619"/>
      <c r="BA228" s="619"/>
    </row>
    <row r="229" spans="2:53" s="69" customFormat="1" ht="63">
      <c r="B229" s="660">
        <f>1+B228</f>
        <v>149</v>
      </c>
      <c r="C229" s="185" t="s">
        <v>1035</v>
      </c>
      <c r="D229" s="186" t="s">
        <v>268</v>
      </c>
      <c r="E229" s="194" t="s">
        <v>1718</v>
      </c>
      <c r="F229" s="660">
        <v>9</v>
      </c>
      <c r="G229" s="187">
        <v>5527</v>
      </c>
      <c r="H229" s="687"/>
      <c r="I229" s="187"/>
      <c r="J229" s="688"/>
      <c r="K229" s="189"/>
      <c r="L229" s="189"/>
      <c r="M229" s="687"/>
      <c r="N229" s="187"/>
      <c r="O229" s="687"/>
      <c r="P229" s="194"/>
      <c r="Q229" s="194"/>
      <c r="R229" s="187">
        <f t="shared" si="275"/>
        <v>5527</v>
      </c>
      <c r="S229" s="187">
        <v>1</v>
      </c>
      <c r="T229" s="187"/>
      <c r="U229" s="194"/>
      <c r="V229" s="692"/>
      <c r="W229" s="194"/>
      <c r="X229" s="674">
        <v>32</v>
      </c>
      <c r="Y229" s="688">
        <v>0.3</v>
      </c>
      <c r="Z229" s="187">
        <f t="shared" si="276"/>
        <v>1658.1</v>
      </c>
      <c r="AA229" s="187">
        <f t="shared" si="258"/>
        <v>814.89999999999964</v>
      </c>
      <c r="AB229" s="187">
        <f t="shared" si="259"/>
        <v>8000</v>
      </c>
      <c r="AC229" s="689">
        <f t="shared" si="260"/>
        <v>5500</v>
      </c>
      <c r="AD229" s="689">
        <f t="shared" si="261"/>
        <v>13500</v>
      </c>
      <c r="AE229" s="190">
        <f t="shared" si="262"/>
        <v>13500</v>
      </c>
      <c r="AF229" s="190">
        <f t="shared" si="263"/>
        <v>5500</v>
      </c>
      <c r="AG229" s="689">
        <f t="shared" si="277"/>
        <v>8000</v>
      </c>
      <c r="AH229" s="190">
        <f t="shared" si="278"/>
        <v>814.89999999999964</v>
      </c>
      <c r="AI229" s="191">
        <f t="shared" si="264"/>
        <v>5527</v>
      </c>
      <c r="AJ229" s="191">
        <f t="shared" si="265"/>
        <v>0</v>
      </c>
      <c r="AK229" s="191">
        <f t="shared" si="266"/>
        <v>5527</v>
      </c>
      <c r="AL229" s="191">
        <f t="shared" si="267"/>
        <v>0</v>
      </c>
      <c r="AM229" s="191">
        <f t="shared" si="268"/>
        <v>0</v>
      </c>
      <c r="AN229" s="191">
        <f>AL229-AJ229</f>
        <v>0</v>
      </c>
      <c r="AO229" s="193">
        <f t="shared" si="269"/>
        <v>1658.1</v>
      </c>
      <c r="AP229" s="193">
        <f t="shared" si="270"/>
        <v>0</v>
      </c>
      <c r="AQ229" s="193">
        <f t="shared" si="271"/>
        <v>814.89999999999964</v>
      </c>
      <c r="AR229" s="193">
        <f t="shared" si="272"/>
        <v>0</v>
      </c>
      <c r="AS229" s="193">
        <f t="shared" si="273"/>
        <v>0</v>
      </c>
      <c r="AT229" s="197">
        <f t="shared" si="199"/>
        <v>5527</v>
      </c>
      <c r="AU229" s="197">
        <f t="shared" si="199"/>
        <v>0</v>
      </c>
      <c r="AV229" s="191"/>
      <c r="AW229" s="236">
        <f t="shared" si="274"/>
        <v>5527</v>
      </c>
      <c r="AX229" s="236"/>
      <c r="AY229" s="619"/>
      <c r="AZ229" s="619"/>
      <c r="BA229" s="619"/>
    </row>
    <row r="230" spans="2:53" s="69" customFormat="1" ht="63">
      <c r="B230" s="660">
        <f>1+B229</f>
        <v>150</v>
      </c>
      <c r="C230" s="185" t="s">
        <v>1035</v>
      </c>
      <c r="D230" s="186" t="s">
        <v>270</v>
      </c>
      <c r="E230" s="660" t="s">
        <v>1090</v>
      </c>
      <c r="F230" s="660">
        <v>9</v>
      </c>
      <c r="G230" s="187">
        <v>5527</v>
      </c>
      <c r="H230" s="687"/>
      <c r="I230" s="187"/>
      <c r="J230" s="687"/>
      <c r="K230" s="187"/>
      <c r="L230" s="187"/>
      <c r="M230" s="687"/>
      <c r="N230" s="187"/>
      <c r="O230" s="687"/>
      <c r="P230" s="187"/>
      <c r="Q230" s="187"/>
      <c r="R230" s="187">
        <f t="shared" si="275"/>
        <v>5527</v>
      </c>
      <c r="S230" s="187">
        <v>1</v>
      </c>
      <c r="T230" s="187"/>
      <c r="U230" s="187"/>
      <c r="V230" s="687"/>
      <c r="W230" s="187"/>
      <c r="X230" s="674">
        <v>30</v>
      </c>
      <c r="Y230" s="688">
        <v>0.3</v>
      </c>
      <c r="Z230" s="187">
        <f t="shared" si="276"/>
        <v>1658.1</v>
      </c>
      <c r="AA230" s="187">
        <f t="shared" si="258"/>
        <v>814.89999999999964</v>
      </c>
      <c r="AB230" s="187">
        <f t="shared" si="259"/>
        <v>8000</v>
      </c>
      <c r="AC230" s="689">
        <f t="shared" si="260"/>
        <v>5500</v>
      </c>
      <c r="AD230" s="689">
        <f t="shared" si="261"/>
        <v>13500</v>
      </c>
      <c r="AE230" s="190">
        <f t="shared" si="262"/>
        <v>13500</v>
      </c>
      <c r="AF230" s="190">
        <f t="shared" si="263"/>
        <v>5500</v>
      </c>
      <c r="AG230" s="689">
        <f t="shared" si="277"/>
        <v>8000</v>
      </c>
      <c r="AH230" s="190">
        <f t="shared" si="278"/>
        <v>814.89999999999964</v>
      </c>
      <c r="AI230" s="191">
        <f t="shared" si="264"/>
        <v>5527</v>
      </c>
      <c r="AJ230" s="191">
        <f t="shared" si="265"/>
        <v>0</v>
      </c>
      <c r="AK230" s="191">
        <f t="shared" si="266"/>
        <v>5527</v>
      </c>
      <c r="AL230" s="191">
        <f t="shared" si="267"/>
        <v>0</v>
      </c>
      <c r="AM230" s="191">
        <f t="shared" si="268"/>
        <v>0</v>
      </c>
      <c r="AN230" s="191">
        <f>AL230-AJ230</f>
        <v>0</v>
      </c>
      <c r="AO230" s="193">
        <f t="shared" si="269"/>
        <v>1658.1</v>
      </c>
      <c r="AP230" s="193">
        <f t="shared" si="270"/>
        <v>0</v>
      </c>
      <c r="AQ230" s="193">
        <f t="shared" si="271"/>
        <v>814.89999999999964</v>
      </c>
      <c r="AR230" s="193">
        <f t="shared" si="272"/>
        <v>0</v>
      </c>
      <c r="AS230" s="193">
        <f t="shared" si="273"/>
        <v>0</v>
      </c>
      <c r="AT230" s="197">
        <f t="shared" si="199"/>
        <v>5527</v>
      </c>
      <c r="AU230" s="197">
        <f t="shared" si="199"/>
        <v>0</v>
      </c>
      <c r="AV230" s="191"/>
      <c r="AW230" s="236">
        <f>R230*S230</f>
        <v>5527</v>
      </c>
      <c r="AX230" s="236"/>
      <c r="AY230" s="619"/>
      <c r="AZ230" s="619"/>
      <c r="BA230" s="619"/>
    </row>
    <row r="231" spans="2:53" s="69" customFormat="1" ht="31.5">
      <c r="B231" s="660"/>
      <c r="C231" s="168" t="s">
        <v>1662</v>
      </c>
      <c r="D231" s="195"/>
      <c r="E231" s="181"/>
      <c r="F231" s="181"/>
      <c r="G231" s="171">
        <f>SUM(G223:G230)</f>
        <v>44216</v>
      </c>
      <c r="H231" s="703"/>
      <c r="I231" s="171">
        <f>SUM(I223:I230)</f>
        <v>552.70000000000005</v>
      </c>
      <c r="J231" s="682"/>
      <c r="K231" s="181"/>
      <c r="L231" s="181"/>
      <c r="M231" s="682"/>
      <c r="N231" s="181"/>
      <c r="O231" s="682"/>
      <c r="P231" s="181"/>
      <c r="Q231" s="181"/>
      <c r="R231" s="171">
        <f>SUM(R223:R230)</f>
        <v>44768.7</v>
      </c>
      <c r="S231" s="171">
        <f>SUM(S223:S230)</f>
        <v>8</v>
      </c>
      <c r="T231" s="171">
        <f>SUM(T223:T230)</f>
        <v>0</v>
      </c>
      <c r="U231" s="171"/>
      <c r="V231" s="693"/>
      <c r="W231" s="171"/>
      <c r="X231" s="693"/>
      <c r="Y231" s="693"/>
      <c r="Z231" s="171">
        <f>SUM(Z223:Z230)</f>
        <v>12877.910000000002</v>
      </c>
      <c r="AA231" s="171">
        <f>SUM(AA223:AA230)</f>
        <v>6353.3899999999985</v>
      </c>
      <c r="AB231" s="171">
        <f>SUM(AB223:AB230)</f>
        <v>64000</v>
      </c>
      <c r="AC231" s="171">
        <f>SUM(AC223:AC230)</f>
        <v>44000</v>
      </c>
      <c r="AD231" s="171">
        <f>SUM(AD223:AD230)</f>
        <v>108000</v>
      </c>
      <c r="AE231" s="171">
        <f t="shared" ref="AE231:AV231" si="279">SUM(AE223:AE230)</f>
        <v>108000</v>
      </c>
      <c r="AF231" s="171">
        <f t="shared" si="279"/>
        <v>44000</v>
      </c>
      <c r="AG231" s="171">
        <f t="shared" si="279"/>
        <v>64000</v>
      </c>
      <c r="AH231" s="171">
        <f t="shared" si="279"/>
        <v>6353.3899999999985</v>
      </c>
      <c r="AI231" s="171">
        <f t="shared" si="279"/>
        <v>38689</v>
      </c>
      <c r="AJ231" s="171">
        <f t="shared" si="279"/>
        <v>0</v>
      </c>
      <c r="AK231" s="171">
        <f t="shared" si="279"/>
        <v>39241.699999999997</v>
      </c>
      <c r="AL231" s="171">
        <f t="shared" si="279"/>
        <v>0</v>
      </c>
      <c r="AM231" s="171">
        <f t="shared" si="279"/>
        <v>552.69999999999982</v>
      </c>
      <c r="AN231" s="171">
        <f t="shared" si="279"/>
        <v>0</v>
      </c>
      <c r="AO231" s="171">
        <f t="shared" si="279"/>
        <v>11219.810000000001</v>
      </c>
      <c r="AP231" s="171">
        <f t="shared" si="279"/>
        <v>0</v>
      </c>
      <c r="AQ231" s="171">
        <f t="shared" si="279"/>
        <v>5538.4899999999989</v>
      </c>
      <c r="AR231" s="171">
        <f t="shared" si="279"/>
        <v>0</v>
      </c>
      <c r="AS231" s="171">
        <f t="shared" si="279"/>
        <v>0</v>
      </c>
      <c r="AT231" s="171">
        <f t="shared" si="279"/>
        <v>39241.699999999997</v>
      </c>
      <c r="AU231" s="171">
        <f t="shared" si="279"/>
        <v>0</v>
      </c>
      <c r="AV231" s="171">
        <f t="shared" si="279"/>
        <v>0</v>
      </c>
      <c r="AW231" s="171">
        <f>SUM(AW223:AW230)</f>
        <v>44768.7</v>
      </c>
      <c r="AX231" s="171">
        <f>SUM(AX223:AX230)</f>
        <v>0</v>
      </c>
      <c r="AY231" s="619"/>
      <c r="AZ231" s="619"/>
      <c r="BA231" s="619"/>
    </row>
    <row r="232" spans="2:53" s="69" customFormat="1" ht="33">
      <c r="B232" s="660"/>
      <c r="C232" s="208" t="s">
        <v>1774</v>
      </c>
      <c r="D232" s="195"/>
      <c r="E232" s="181"/>
      <c r="F232" s="181"/>
      <c r="G232" s="171"/>
      <c r="H232" s="703"/>
      <c r="I232" s="171"/>
      <c r="J232" s="682"/>
      <c r="K232" s="181"/>
      <c r="L232" s="181"/>
      <c r="M232" s="682"/>
      <c r="N232" s="181"/>
      <c r="O232" s="682"/>
      <c r="P232" s="181"/>
      <c r="Q232" s="181"/>
      <c r="R232" s="171"/>
      <c r="S232" s="171"/>
      <c r="T232" s="171"/>
      <c r="U232" s="171"/>
      <c r="V232" s="693"/>
      <c r="W232" s="171"/>
      <c r="X232" s="693"/>
      <c r="Y232" s="693"/>
      <c r="Z232" s="171"/>
      <c r="AA232" s="171"/>
      <c r="AB232" s="171"/>
      <c r="AC232" s="196"/>
      <c r="AD232" s="196"/>
      <c r="AE232" s="196"/>
      <c r="AF232" s="196"/>
      <c r="AG232" s="196"/>
      <c r="AH232" s="196"/>
      <c r="AI232" s="191"/>
      <c r="AJ232" s="191"/>
      <c r="AK232" s="191"/>
      <c r="AL232" s="191"/>
      <c r="AM232" s="191"/>
      <c r="AN232" s="191"/>
      <c r="AO232" s="193"/>
      <c r="AP232" s="193"/>
      <c r="AQ232" s="193"/>
      <c r="AR232" s="193"/>
      <c r="AS232" s="193"/>
      <c r="AT232" s="197"/>
      <c r="AU232" s="197"/>
      <c r="AV232" s="191"/>
      <c r="AW232" s="236"/>
      <c r="AX232" s="236"/>
      <c r="AY232" s="619"/>
      <c r="AZ232" s="619"/>
      <c r="BA232" s="619"/>
    </row>
    <row r="233" spans="2:53" s="69" customFormat="1" ht="94.5">
      <c r="B233" s="660">
        <f>B230+1</f>
        <v>151</v>
      </c>
      <c r="C233" s="185" t="s">
        <v>1138</v>
      </c>
      <c r="D233" s="195"/>
      <c r="E233" s="194" t="s">
        <v>271</v>
      </c>
      <c r="F233" s="660">
        <v>3</v>
      </c>
      <c r="G233" s="187">
        <v>3770</v>
      </c>
      <c r="H233" s="687"/>
      <c r="I233" s="187"/>
      <c r="J233" s="687"/>
      <c r="K233" s="187"/>
      <c r="L233" s="187"/>
      <c r="M233" s="687"/>
      <c r="N233" s="187"/>
      <c r="O233" s="687"/>
      <c r="P233" s="187"/>
      <c r="Q233" s="187"/>
      <c r="R233" s="187">
        <f t="shared" ref="R233:R238" si="280">G233+I233+K233+L233+N233+P233+Q233</f>
        <v>3770</v>
      </c>
      <c r="S233" s="187">
        <v>1</v>
      </c>
      <c r="T233" s="194"/>
      <c r="U233" s="194"/>
      <c r="V233" s="688">
        <v>0.1</v>
      </c>
      <c r="W233" s="187">
        <f t="shared" ref="W233:W238" si="281">R233*V233</f>
        <v>377</v>
      </c>
      <c r="X233" s="674"/>
      <c r="Y233" s="688"/>
      <c r="Z233" s="187"/>
      <c r="AA233" s="187">
        <f t="shared" ref="AA233:AA238" si="282">AH233</f>
        <v>4230</v>
      </c>
      <c r="AB233" s="187">
        <f t="shared" ref="AB233:AB238" si="283">(R233+Z233+U233+W233)*S233+AA233</f>
        <v>8377</v>
      </c>
      <c r="AC233" s="689">
        <f t="shared" ref="AC233:AC238" si="284">AF233</f>
        <v>0</v>
      </c>
      <c r="AD233" s="689">
        <f t="shared" ref="AD233:AD238" si="285">AB233+AC233</f>
        <v>8377</v>
      </c>
      <c r="AE233" s="190">
        <f t="shared" ref="AE233:AE238" si="286">AB233</f>
        <v>8377</v>
      </c>
      <c r="AF233" s="190">
        <f t="shared" ref="AF233:AF238" si="287">AE233-AB233</f>
        <v>0</v>
      </c>
      <c r="AG233" s="689">
        <f t="shared" ref="AG233:AG238" si="288">8000*S233</f>
        <v>8000</v>
      </c>
      <c r="AH233" s="190">
        <f t="shared" ref="AH233:AH238" si="289">AG233-(R233*S233)</f>
        <v>4230</v>
      </c>
      <c r="AI233" s="191">
        <f t="shared" ref="AI233:AI238" si="290">G233*S233</f>
        <v>3770</v>
      </c>
      <c r="AJ233" s="191">
        <f t="shared" ref="AJ233:AJ238" si="291">G233*T233</f>
        <v>0</v>
      </c>
      <c r="AK233" s="191">
        <f>R233*S233</f>
        <v>3770</v>
      </c>
      <c r="AL233" s="191">
        <f>R233*T233</f>
        <v>0</v>
      </c>
      <c r="AM233" s="191">
        <f t="shared" ref="AM233:AN238" si="292">AK233-AI233</f>
        <v>0</v>
      </c>
      <c r="AN233" s="191">
        <f t="shared" si="292"/>
        <v>0</v>
      </c>
      <c r="AO233" s="193">
        <f>Z233*S233</f>
        <v>0</v>
      </c>
      <c r="AP233" s="193">
        <f>Z233*T233</f>
        <v>0</v>
      </c>
      <c r="AQ233" s="193">
        <f>AA233</f>
        <v>4230</v>
      </c>
      <c r="AR233" s="193">
        <f t="shared" ref="AR233:AR238" si="293">W233*S233</f>
        <v>377</v>
      </c>
      <c r="AS233" s="193">
        <f t="shared" ref="AS233:AS238" si="294">W233*T233</f>
        <v>0</v>
      </c>
      <c r="AT233" s="197">
        <f t="shared" ref="AT233:AU299" si="295">AK233</f>
        <v>3770</v>
      </c>
      <c r="AU233" s="197">
        <f t="shared" si="295"/>
        <v>0</v>
      </c>
      <c r="AV233" s="191"/>
      <c r="AW233" s="236">
        <f t="shared" ref="AW233:AW238" si="296">R233*S233</f>
        <v>3770</v>
      </c>
      <c r="AX233" s="236"/>
      <c r="AY233" s="619"/>
      <c r="AZ233" s="619"/>
      <c r="BA233" s="619"/>
    </row>
    <row r="234" spans="2:53" s="69" customFormat="1" ht="94.5">
      <c r="B234" s="660">
        <f>B233+1</f>
        <v>152</v>
      </c>
      <c r="C234" s="185" t="s">
        <v>1138</v>
      </c>
      <c r="D234" s="195"/>
      <c r="E234" s="186" t="s">
        <v>272</v>
      </c>
      <c r="F234" s="660">
        <v>3</v>
      </c>
      <c r="G234" s="187">
        <v>3770</v>
      </c>
      <c r="H234" s="687"/>
      <c r="I234" s="187"/>
      <c r="J234" s="687"/>
      <c r="K234" s="187"/>
      <c r="L234" s="187"/>
      <c r="M234" s="687"/>
      <c r="N234" s="187"/>
      <c r="O234" s="687"/>
      <c r="P234" s="187"/>
      <c r="Q234" s="187"/>
      <c r="R234" s="187">
        <f t="shared" si="280"/>
        <v>3770</v>
      </c>
      <c r="S234" s="187">
        <v>1</v>
      </c>
      <c r="T234" s="194"/>
      <c r="U234" s="194"/>
      <c r="V234" s="688">
        <v>0.1</v>
      </c>
      <c r="W234" s="187">
        <f t="shared" si="281"/>
        <v>377</v>
      </c>
      <c r="X234" s="674"/>
      <c r="Y234" s="688"/>
      <c r="Z234" s="187"/>
      <c r="AA234" s="187">
        <f t="shared" si="282"/>
        <v>4230</v>
      </c>
      <c r="AB234" s="187">
        <f t="shared" si="283"/>
        <v>8377</v>
      </c>
      <c r="AC234" s="689">
        <f t="shared" si="284"/>
        <v>0</v>
      </c>
      <c r="AD234" s="689">
        <f t="shared" si="285"/>
        <v>8377</v>
      </c>
      <c r="AE234" s="190">
        <f t="shared" si="286"/>
        <v>8377</v>
      </c>
      <c r="AF234" s="190">
        <f t="shared" si="287"/>
        <v>0</v>
      </c>
      <c r="AG234" s="689">
        <f t="shared" si="288"/>
        <v>8000</v>
      </c>
      <c r="AH234" s="190">
        <f t="shared" si="289"/>
        <v>4230</v>
      </c>
      <c r="AI234" s="191"/>
      <c r="AJ234" s="191"/>
      <c r="AK234" s="191"/>
      <c r="AL234" s="191"/>
      <c r="AM234" s="191"/>
      <c r="AN234" s="191"/>
      <c r="AO234" s="193"/>
      <c r="AP234" s="193"/>
      <c r="AQ234" s="193"/>
      <c r="AR234" s="193"/>
      <c r="AS234" s="193"/>
      <c r="AT234" s="197"/>
      <c r="AU234" s="197"/>
      <c r="AV234" s="191"/>
      <c r="AW234" s="236">
        <f t="shared" si="296"/>
        <v>3770</v>
      </c>
      <c r="AX234" s="236"/>
      <c r="AY234" s="619"/>
      <c r="AZ234" s="619"/>
      <c r="BA234" s="619"/>
    </row>
    <row r="235" spans="2:53" s="69" customFormat="1" ht="94.5">
      <c r="B235" s="660">
        <f>B234+1</f>
        <v>153</v>
      </c>
      <c r="C235" s="185" t="s">
        <v>1138</v>
      </c>
      <c r="D235" s="186"/>
      <c r="E235" s="194" t="s">
        <v>1152</v>
      </c>
      <c r="F235" s="660">
        <v>3</v>
      </c>
      <c r="G235" s="187">
        <v>3770</v>
      </c>
      <c r="H235" s="687"/>
      <c r="I235" s="187"/>
      <c r="J235" s="687"/>
      <c r="K235" s="187"/>
      <c r="L235" s="187"/>
      <c r="M235" s="687"/>
      <c r="N235" s="187"/>
      <c r="O235" s="687"/>
      <c r="P235" s="187"/>
      <c r="Q235" s="187"/>
      <c r="R235" s="187">
        <f t="shared" si="280"/>
        <v>3770</v>
      </c>
      <c r="S235" s="187">
        <v>1</v>
      </c>
      <c r="T235" s="187"/>
      <c r="U235" s="187"/>
      <c r="V235" s="688">
        <v>0.1</v>
      </c>
      <c r="W235" s="187">
        <f t="shared" si="281"/>
        <v>377</v>
      </c>
      <c r="X235" s="674"/>
      <c r="Y235" s="688"/>
      <c r="Z235" s="187"/>
      <c r="AA235" s="187">
        <f t="shared" si="282"/>
        <v>4230</v>
      </c>
      <c r="AB235" s="187">
        <f t="shared" si="283"/>
        <v>8377</v>
      </c>
      <c r="AC235" s="689">
        <f t="shared" si="284"/>
        <v>0</v>
      </c>
      <c r="AD235" s="689">
        <f t="shared" si="285"/>
        <v>8377</v>
      </c>
      <c r="AE235" s="190">
        <f t="shared" si="286"/>
        <v>8377</v>
      </c>
      <c r="AF235" s="190">
        <f t="shared" si="287"/>
        <v>0</v>
      </c>
      <c r="AG235" s="689">
        <f t="shared" si="288"/>
        <v>8000</v>
      </c>
      <c r="AH235" s="190">
        <f t="shared" si="289"/>
        <v>4230</v>
      </c>
      <c r="AI235" s="191">
        <f>G235*S235</f>
        <v>3770</v>
      </c>
      <c r="AJ235" s="191">
        <f>G235*T235</f>
        <v>0</v>
      </c>
      <c r="AK235" s="191">
        <f>R235*S235</f>
        <v>3770</v>
      </c>
      <c r="AL235" s="191">
        <f>R235*T235</f>
        <v>0</v>
      </c>
      <c r="AM235" s="191">
        <f t="shared" si="292"/>
        <v>0</v>
      </c>
      <c r="AN235" s="191">
        <f t="shared" si="292"/>
        <v>0</v>
      </c>
      <c r="AO235" s="193">
        <f>Z235*S235</f>
        <v>0</v>
      </c>
      <c r="AP235" s="193">
        <f>Z235*T235</f>
        <v>0</v>
      </c>
      <c r="AQ235" s="193">
        <f>AA235</f>
        <v>4230</v>
      </c>
      <c r="AR235" s="193">
        <f>W235*S235</f>
        <v>377</v>
      </c>
      <c r="AS235" s="193">
        <f>W235*T235</f>
        <v>0</v>
      </c>
      <c r="AT235" s="197">
        <f t="shared" si="295"/>
        <v>3770</v>
      </c>
      <c r="AU235" s="197">
        <f t="shared" si="295"/>
        <v>0</v>
      </c>
      <c r="AV235" s="191"/>
      <c r="AW235" s="236">
        <f t="shared" si="296"/>
        <v>3770</v>
      </c>
      <c r="AX235" s="236"/>
      <c r="AY235" s="619"/>
      <c r="AZ235" s="619"/>
      <c r="BA235" s="619"/>
    </row>
    <row r="236" spans="2:53" s="69" customFormat="1" ht="94.5">
      <c r="B236" s="660">
        <f>1+B235</f>
        <v>154</v>
      </c>
      <c r="C236" s="185" t="s">
        <v>1138</v>
      </c>
      <c r="D236" s="186"/>
      <c r="E236" s="660" t="s">
        <v>1726</v>
      </c>
      <c r="F236" s="660">
        <v>3</v>
      </c>
      <c r="G236" s="187">
        <v>3770</v>
      </c>
      <c r="H236" s="687"/>
      <c r="I236" s="187"/>
      <c r="J236" s="687"/>
      <c r="K236" s="187"/>
      <c r="L236" s="187"/>
      <c r="M236" s="687"/>
      <c r="N236" s="187"/>
      <c r="O236" s="687"/>
      <c r="P236" s="187"/>
      <c r="Q236" s="187"/>
      <c r="R236" s="187">
        <f t="shared" si="280"/>
        <v>3770</v>
      </c>
      <c r="S236" s="187">
        <v>1</v>
      </c>
      <c r="T236" s="187"/>
      <c r="U236" s="187"/>
      <c r="V236" s="688">
        <v>0.1</v>
      </c>
      <c r="W236" s="187">
        <f t="shared" si="281"/>
        <v>377</v>
      </c>
      <c r="X236" s="674"/>
      <c r="Y236" s="688"/>
      <c r="Z236" s="187"/>
      <c r="AA236" s="187">
        <f t="shared" si="282"/>
        <v>4230</v>
      </c>
      <c r="AB236" s="187">
        <f t="shared" si="283"/>
        <v>8377</v>
      </c>
      <c r="AC236" s="689">
        <f t="shared" si="284"/>
        <v>0</v>
      </c>
      <c r="AD236" s="689">
        <f t="shared" si="285"/>
        <v>8377</v>
      </c>
      <c r="AE236" s="190">
        <f t="shared" si="286"/>
        <v>8377</v>
      </c>
      <c r="AF236" s="190">
        <f t="shared" si="287"/>
        <v>0</v>
      </c>
      <c r="AG236" s="689">
        <f t="shared" si="288"/>
        <v>8000</v>
      </c>
      <c r="AH236" s="190">
        <f t="shared" si="289"/>
        <v>4230</v>
      </c>
      <c r="AI236" s="191">
        <f t="shared" si="290"/>
        <v>3770</v>
      </c>
      <c r="AJ236" s="191">
        <f t="shared" si="291"/>
        <v>0</v>
      </c>
      <c r="AK236" s="191">
        <f>R236*S236</f>
        <v>3770</v>
      </c>
      <c r="AL236" s="191">
        <f>R236*T236</f>
        <v>0</v>
      </c>
      <c r="AM236" s="191">
        <f t="shared" si="292"/>
        <v>0</v>
      </c>
      <c r="AN236" s="191">
        <f t="shared" si="292"/>
        <v>0</v>
      </c>
      <c r="AO236" s="193">
        <f>Z236*S236</f>
        <v>0</v>
      </c>
      <c r="AP236" s="193">
        <f>Z236*T236</f>
        <v>0</v>
      </c>
      <c r="AQ236" s="193">
        <f>AA236</f>
        <v>4230</v>
      </c>
      <c r="AR236" s="193">
        <f t="shared" si="293"/>
        <v>377</v>
      </c>
      <c r="AS236" s="193">
        <f t="shared" si="294"/>
        <v>0</v>
      </c>
      <c r="AT236" s="197">
        <f t="shared" si="295"/>
        <v>3770</v>
      </c>
      <c r="AU236" s="197">
        <f t="shared" si="295"/>
        <v>0</v>
      </c>
      <c r="AV236" s="191"/>
      <c r="AW236" s="236">
        <f t="shared" si="296"/>
        <v>3770</v>
      </c>
      <c r="AX236" s="236"/>
      <c r="AY236" s="619"/>
      <c r="AZ236" s="619"/>
      <c r="BA236" s="619"/>
    </row>
    <row r="237" spans="2:53" s="69" customFormat="1" ht="94.5">
      <c r="B237" s="660">
        <f>1+B236</f>
        <v>155</v>
      </c>
      <c r="C237" s="185" t="s">
        <v>1138</v>
      </c>
      <c r="D237" s="186"/>
      <c r="E237" s="194" t="s">
        <v>1153</v>
      </c>
      <c r="F237" s="660">
        <v>3</v>
      </c>
      <c r="G237" s="187">
        <v>3770</v>
      </c>
      <c r="H237" s="687"/>
      <c r="I237" s="187"/>
      <c r="J237" s="687"/>
      <c r="K237" s="187"/>
      <c r="L237" s="187"/>
      <c r="M237" s="687"/>
      <c r="N237" s="187"/>
      <c r="O237" s="687"/>
      <c r="P237" s="187"/>
      <c r="Q237" s="187"/>
      <c r="R237" s="187">
        <f t="shared" si="280"/>
        <v>3770</v>
      </c>
      <c r="S237" s="187">
        <v>1</v>
      </c>
      <c r="T237" s="187"/>
      <c r="U237" s="187"/>
      <c r="V237" s="688">
        <v>0.1</v>
      </c>
      <c r="W237" s="187">
        <f t="shared" si="281"/>
        <v>377</v>
      </c>
      <c r="X237" s="674"/>
      <c r="Y237" s="688"/>
      <c r="Z237" s="187"/>
      <c r="AA237" s="187">
        <f t="shared" si="282"/>
        <v>4230</v>
      </c>
      <c r="AB237" s="187">
        <f t="shared" si="283"/>
        <v>8377</v>
      </c>
      <c r="AC237" s="689">
        <f t="shared" si="284"/>
        <v>0</v>
      </c>
      <c r="AD237" s="689">
        <f t="shared" si="285"/>
        <v>8377</v>
      </c>
      <c r="AE237" s="190">
        <f t="shared" si="286"/>
        <v>8377</v>
      </c>
      <c r="AF237" s="190">
        <f t="shared" si="287"/>
        <v>0</v>
      </c>
      <c r="AG237" s="689">
        <f t="shared" si="288"/>
        <v>8000</v>
      </c>
      <c r="AH237" s="190">
        <f t="shared" si="289"/>
        <v>4230</v>
      </c>
      <c r="AI237" s="191">
        <f t="shared" si="290"/>
        <v>3770</v>
      </c>
      <c r="AJ237" s="191">
        <f t="shared" si="291"/>
        <v>0</v>
      </c>
      <c r="AK237" s="191">
        <f>R237*S237</f>
        <v>3770</v>
      </c>
      <c r="AL237" s="191">
        <f>R237*T237</f>
        <v>0</v>
      </c>
      <c r="AM237" s="191">
        <f t="shared" si="292"/>
        <v>0</v>
      </c>
      <c r="AN237" s="191">
        <f t="shared" si="292"/>
        <v>0</v>
      </c>
      <c r="AO237" s="193">
        <f>Z237*S237</f>
        <v>0</v>
      </c>
      <c r="AP237" s="193">
        <f>Z237*T237</f>
        <v>0</v>
      </c>
      <c r="AQ237" s="193">
        <f>AA237</f>
        <v>4230</v>
      </c>
      <c r="AR237" s="193">
        <f t="shared" si="293"/>
        <v>377</v>
      </c>
      <c r="AS237" s="193">
        <f t="shared" si="294"/>
        <v>0</v>
      </c>
      <c r="AT237" s="197">
        <f t="shared" si="295"/>
        <v>3770</v>
      </c>
      <c r="AU237" s="197">
        <f t="shared" si="295"/>
        <v>0</v>
      </c>
      <c r="AV237" s="191"/>
      <c r="AW237" s="236">
        <f t="shared" si="296"/>
        <v>3770</v>
      </c>
      <c r="AX237" s="236"/>
      <c r="AY237" s="619"/>
      <c r="AZ237" s="619"/>
      <c r="BA237" s="619"/>
    </row>
    <row r="238" spans="2:53" s="69" customFormat="1" ht="94.5">
      <c r="B238" s="660">
        <f>1+B237</f>
        <v>156</v>
      </c>
      <c r="C238" s="185" t="s">
        <v>1138</v>
      </c>
      <c r="D238" s="186"/>
      <c r="E238" s="194" t="s">
        <v>1727</v>
      </c>
      <c r="F238" s="660">
        <v>3</v>
      </c>
      <c r="G238" s="187">
        <v>3770</v>
      </c>
      <c r="H238" s="687"/>
      <c r="I238" s="187"/>
      <c r="J238" s="687"/>
      <c r="K238" s="187"/>
      <c r="L238" s="187"/>
      <c r="M238" s="687"/>
      <c r="N238" s="187"/>
      <c r="O238" s="687"/>
      <c r="P238" s="194"/>
      <c r="Q238" s="194"/>
      <c r="R238" s="187">
        <f t="shared" si="280"/>
        <v>3770</v>
      </c>
      <c r="S238" s="187">
        <v>1</v>
      </c>
      <c r="T238" s="187"/>
      <c r="U238" s="187"/>
      <c r="V238" s="688">
        <v>0.1</v>
      </c>
      <c r="W238" s="187">
        <f t="shared" si="281"/>
        <v>377</v>
      </c>
      <c r="X238" s="674"/>
      <c r="Y238" s="688"/>
      <c r="Z238" s="187"/>
      <c r="AA238" s="187">
        <f t="shared" si="282"/>
        <v>4230</v>
      </c>
      <c r="AB238" s="187">
        <f t="shared" si="283"/>
        <v>8377</v>
      </c>
      <c r="AC238" s="689">
        <f t="shared" si="284"/>
        <v>0</v>
      </c>
      <c r="AD238" s="689">
        <f t="shared" si="285"/>
        <v>8377</v>
      </c>
      <c r="AE238" s="190">
        <f t="shared" si="286"/>
        <v>8377</v>
      </c>
      <c r="AF238" s="190">
        <f t="shared" si="287"/>
        <v>0</v>
      </c>
      <c r="AG238" s="689">
        <f t="shared" si="288"/>
        <v>8000</v>
      </c>
      <c r="AH238" s="190">
        <f t="shared" si="289"/>
        <v>4230</v>
      </c>
      <c r="AI238" s="191">
        <f t="shared" si="290"/>
        <v>3770</v>
      </c>
      <c r="AJ238" s="191">
        <f t="shared" si="291"/>
        <v>0</v>
      </c>
      <c r="AK238" s="191">
        <f>R238*S238</f>
        <v>3770</v>
      </c>
      <c r="AL238" s="191">
        <f>R238*T238</f>
        <v>0</v>
      </c>
      <c r="AM238" s="191">
        <f t="shared" si="292"/>
        <v>0</v>
      </c>
      <c r="AN238" s="191">
        <f t="shared" si="292"/>
        <v>0</v>
      </c>
      <c r="AO238" s="193">
        <f>Z238*S238</f>
        <v>0</v>
      </c>
      <c r="AP238" s="193">
        <f>Z238*T238</f>
        <v>0</v>
      </c>
      <c r="AQ238" s="193">
        <f>AA238</f>
        <v>4230</v>
      </c>
      <c r="AR238" s="193">
        <f t="shared" si="293"/>
        <v>377</v>
      </c>
      <c r="AS238" s="193">
        <f t="shared" si="294"/>
        <v>0</v>
      </c>
      <c r="AT238" s="197">
        <f t="shared" si="295"/>
        <v>3770</v>
      </c>
      <c r="AU238" s="197">
        <f t="shared" si="295"/>
        <v>0</v>
      </c>
      <c r="AV238" s="191"/>
      <c r="AW238" s="236">
        <f t="shared" si="296"/>
        <v>3770</v>
      </c>
      <c r="AX238" s="236"/>
      <c r="AY238" s="619"/>
      <c r="AZ238" s="619"/>
      <c r="BA238" s="619"/>
    </row>
    <row r="239" spans="2:53" s="69" customFormat="1" ht="31.5">
      <c r="B239" s="660"/>
      <c r="C239" s="168" t="s">
        <v>1662</v>
      </c>
      <c r="D239" s="195"/>
      <c r="E239" s="181"/>
      <c r="F239" s="181"/>
      <c r="G239" s="171">
        <f>SUM(G233:G238)</f>
        <v>22620</v>
      </c>
      <c r="H239" s="682"/>
      <c r="I239" s="181"/>
      <c r="J239" s="682"/>
      <c r="K239" s="181"/>
      <c r="L239" s="181"/>
      <c r="M239" s="682"/>
      <c r="N239" s="181"/>
      <c r="O239" s="682"/>
      <c r="P239" s="181"/>
      <c r="Q239" s="181"/>
      <c r="R239" s="171">
        <f>SUM(R233:R238)</f>
        <v>22620</v>
      </c>
      <c r="S239" s="171">
        <f>SUM(S233:S238)</f>
        <v>6</v>
      </c>
      <c r="T239" s="171">
        <f>SUM(T233:T238)</f>
        <v>0</v>
      </c>
      <c r="U239" s="172"/>
      <c r="V239" s="693"/>
      <c r="W239" s="171">
        <f>SUM(W233:W238)</f>
        <v>2262</v>
      </c>
      <c r="X239" s="693"/>
      <c r="Y239" s="693"/>
      <c r="Z239" s="171"/>
      <c r="AA239" s="171">
        <f>SUM(AA233:AA238)</f>
        <v>25380</v>
      </c>
      <c r="AB239" s="171">
        <f>SUM(AB233:AB238)</f>
        <v>50262</v>
      </c>
      <c r="AC239" s="171">
        <f>SUM(AC233:AC238)</f>
        <v>0</v>
      </c>
      <c r="AD239" s="171">
        <f>SUM(AD233:AD238)</f>
        <v>50262</v>
      </c>
      <c r="AE239" s="171">
        <f t="shared" ref="AE239:AV239" si="297">SUM(AE233:AE238)</f>
        <v>50262</v>
      </c>
      <c r="AF239" s="171">
        <f t="shared" si="297"/>
        <v>0</v>
      </c>
      <c r="AG239" s="171">
        <f>SUM(AG233:AG238)</f>
        <v>48000</v>
      </c>
      <c r="AH239" s="171">
        <f t="shared" si="297"/>
        <v>25380</v>
      </c>
      <c r="AI239" s="171">
        <f t="shared" si="297"/>
        <v>18850</v>
      </c>
      <c r="AJ239" s="171">
        <f t="shared" si="297"/>
        <v>0</v>
      </c>
      <c r="AK239" s="171">
        <f t="shared" si="297"/>
        <v>18850</v>
      </c>
      <c r="AL239" s="171">
        <f t="shared" si="297"/>
        <v>0</v>
      </c>
      <c r="AM239" s="171">
        <f t="shared" si="297"/>
        <v>0</v>
      </c>
      <c r="AN239" s="171">
        <f t="shared" si="297"/>
        <v>0</v>
      </c>
      <c r="AO239" s="171">
        <f t="shared" si="297"/>
        <v>0</v>
      </c>
      <c r="AP239" s="171">
        <f t="shared" si="297"/>
        <v>0</v>
      </c>
      <c r="AQ239" s="171">
        <f t="shared" si="297"/>
        <v>21150</v>
      </c>
      <c r="AR239" s="171">
        <f t="shared" si="297"/>
        <v>1885</v>
      </c>
      <c r="AS239" s="171">
        <f t="shared" si="297"/>
        <v>0</v>
      </c>
      <c r="AT239" s="171">
        <f t="shared" si="297"/>
        <v>18850</v>
      </c>
      <c r="AU239" s="171">
        <f t="shared" si="297"/>
        <v>0</v>
      </c>
      <c r="AV239" s="171">
        <f t="shared" si="297"/>
        <v>0</v>
      </c>
      <c r="AW239" s="171">
        <f>SUM(AW233:AW238)</f>
        <v>22620</v>
      </c>
      <c r="AX239" s="171">
        <f>SUM(AX233:AX238)</f>
        <v>0</v>
      </c>
      <c r="AY239" s="619"/>
      <c r="AZ239" s="619"/>
      <c r="BA239" s="619"/>
    </row>
    <row r="240" spans="2:53" s="69" customFormat="1" ht="31.5">
      <c r="B240" s="660"/>
      <c r="C240" s="168" t="s">
        <v>1223</v>
      </c>
      <c r="D240" s="195"/>
      <c r="E240" s="181"/>
      <c r="F240" s="181"/>
      <c r="G240" s="173">
        <f>G221+G231+G239</f>
        <v>86677</v>
      </c>
      <c r="H240" s="704"/>
      <c r="I240" s="173">
        <f>I221+I231+I239</f>
        <v>1278</v>
      </c>
      <c r="J240" s="704"/>
      <c r="K240" s="173"/>
      <c r="L240" s="173"/>
      <c r="M240" s="704"/>
      <c r="N240" s="173"/>
      <c r="O240" s="704"/>
      <c r="P240" s="173"/>
      <c r="Q240" s="173"/>
      <c r="R240" s="173">
        <f>R221+R231+R239</f>
        <v>87955</v>
      </c>
      <c r="S240" s="171">
        <f>S221+S231+S239</f>
        <v>15.5</v>
      </c>
      <c r="T240" s="171">
        <f>T221+T231+T239</f>
        <v>0.5</v>
      </c>
      <c r="U240" s="173"/>
      <c r="V240" s="704"/>
      <c r="W240" s="173">
        <f>W221+W231+W239</f>
        <v>2262</v>
      </c>
      <c r="X240" s="704"/>
      <c r="Y240" s="704"/>
      <c r="Z240" s="173">
        <f>Z221+Z231+Z239</f>
        <v>17303.300000000003</v>
      </c>
      <c r="AA240" s="173">
        <f>AA221+AA231+AA239</f>
        <v>32825.89</v>
      </c>
      <c r="AB240" s="173">
        <f>AB221+AB231+AB239</f>
        <v>133036.24</v>
      </c>
      <c r="AC240" s="173">
        <f>AC221+AC231+AC239</f>
        <v>65225.759999999995</v>
      </c>
      <c r="AD240" s="173">
        <f>AD221+AD231+AD239</f>
        <v>198262</v>
      </c>
      <c r="AE240" s="173">
        <f t="shared" ref="AE240:AV240" si="298">AE221+AE231+AE239</f>
        <v>198262</v>
      </c>
      <c r="AF240" s="173">
        <f t="shared" si="298"/>
        <v>65225.759999999995</v>
      </c>
      <c r="AG240" s="173">
        <f>AG221+AG231+AG239</f>
        <v>128000</v>
      </c>
      <c r="AH240" s="173">
        <f t="shared" si="298"/>
        <v>30051.649999999998</v>
      </c>
      <c r="AI240" s="173">
        <f t="shared" si="298"/>
        <v>64792</v>
      </c>
      <c r="AJ240" s="173">
        <f t="shared" si="298"/>
        <v>3386.5</v>
      </c>
      <c r="AK240" s="173">
        <f t="shared" si="298"/>
        <v>66070</v>
      </c>
      <c r="AL240" s="173">
        <f t="shared" si="298"/>
        <v>3386.5</v>
      </c>
      <c r="AM240" s="173">
        <f t="shared" si="298"/>
        <v>1278</v>
      </c>
      <c r="AN240" s="173">
        <f t="shared" si="298"/>
        <v>0</v>
      </c>
      <c r="AO240" s="173">
        <f t="shared" si="298"/>
        <v>13613.300000000001</v>
      </c>
      <c r="AP240" s="173">
        <f t="shared" si="298"/>
        <v>1015.9499999999999</v>
      </c>
      <c r="AQ240" s="173">
        <f t="shared" si="298"/>
        <v>26688.489999999998</v>
      </c>
      <c r="AR240" s="173">
        <f t="shared" si="298"/>
        <v>1885</v>
      </c>
      <c r="AS240" s="173">
        <f t="shared" si="298"/>
        <v>0</v>
      </c>
      <c r="AT240" s="173">
        <f t="shared" si="298"/>
        <v>66070</v>
      </c>
      <c r="AU240" s="173">
        <f t="shared" si="298"/>
        <v>3386.5</v>
      </c>
      <c r="AV240" s="173">
        <f t="shared" si="298"/>
        <v>0</v>
      </c>
      <c r="AW240" s="173">
        <f>AW221+AW231+AW239</f>
        <v>81661</v>
      </c>
      <c r="AX240" s="173">
        <f>AX221+AX231+AX239</f>
        <v>0</v>
      </c>
      <c r="AY240" s="619"/>
      <c r="AZ240" s="619"/>
      <c r="BA240" s="619"/>
    </row>
    <row r="241" spans="2:53" s="69" customFormat="1" ht="33">
      <c r="B241" s="660"/>
      <c r="C241" s="179" t="s">
        <v>1692</v>
      </c>
      <c r="D241" s="180"/>
      <c r="E241" s="181"/>
      <c r="F241" s="181"/>
      <c r="G241" s="181"/>
      <c r="H241" s="682"/>
      <c r="I241" s="181"/>
      <c r="J241" s="682"/>
      <c r="K241" s="181"/>
      <c r="L241" s="181"/>
      <c r="M241" s="682"/>
      <c r="N241" s="181"/>
      <c r="O241" s="682"/>
      <c r="P241" s="181"/>
      <c r="Q241" s="181"/>
      <c r="R241" s="181"/>
      <c r="S241" s="181"/>
      <c r="T241" s="181"/>
      <c r="U241" s="181"/>
      <c r="V241" s="683"/>
      <c r="W241" s="181"/>
      <c r="X241" s="683"/>
      <c r="Y241" s="683"/>
      <c r="Z241" s="181"/>
      <c r="AA241" s="181"/>
      <c r="AB241" s="181"/>
      <c r="AC241" s="183"/>
      <c r="AD241" s="183"/>
      <c r="AE241" s="183"/>
      <c r="AF241" s="183"/>
      <c r="AG241" s="183"/>
      <c r="AH241" s="183"/>
      <c r="AI241" s="191">
        <f>G241*S241</f>
        <v>0</v>
      </c>
      <c r="AJ241" s="191">
        <f>G241*T241</f>
        <v>0</v>
      </c>
      <c r="AK241" s="191">
        <f>R241*S241</f>
        <v>0</v>
      </c>
      <c r="AL241" s="191">
        <f>R241*T241</f>
        <v>0</v>
      </c>
      <c r="AM241" s="191">
        <f t="shared" ref="AM241:AN244" si="299">AK241-AI241</f>
        <v>0</v>
      </c>
      <c r="AN241" s="191">
        <f t="shared" si="299"/>
        <v>0</v>
      </c>
      <c r="AO241" s="193">
        <f>Z241*S241</f>
        <v>0</v>
      </c>
      <c r="AP241" s="193">
        <f>Z241*T241</f>
        <v>0</v>
      </c>
      <c r="AQ241" s="193">
        <f>AA241</f>
        <v>0</v>
      </c>
      <c r="AR241" s="193">
        <f>W241*S241</f>
        <v>0</v>
      </c>
      <c r="AS241" s="193">
        <f>W241*T241</f>
        <v>0</v>
      </c>
      <c r="AT241" s="197">
        <f t="shared" si="295"/>
        <v>0</v>
      </c>
      <c r="AU241" s="197">
        <f t="shared" si="295"/>
        <v>0</v>
      </c>
      <c r="AV241" s="191"/>
      <c r="AW241" s="236"/>
      <c r="AX241" s="236"/>
      <c r="AY241" s="619"/>
      <c r="AZ241" s="619"/>
      <c r="BA241" s="619"/>
    </row>
    <row r="242" spans="2:53" s="69" customFormat="1" ht="33">
      <c r="B242" s="660"/>
      <c r="C242" s="208" t="s">
        <v>1309</v>
      </c>
      <c r="D242" s="205"/>
      <c r="E242" s="206"/>
      <c r="F242" s="206"/>
      <c r="G242" s="206"/>
      <c r="H242" s="696"/>
      <c r="I242" s="206"/>
      <c r="J242" s="696"/>
      <c r="K242" s="206"/>
      <c r="L242" s="206"/>
      <c r="M242" s="696"/>
      <c r="N242" s="206"/>
      <c r="O242" s="696"/>
      <c r="P242" s="206"/>
      <c r="Q242" s="206"/>
      <c r="R242" s="206"/>
      <c r="S242" s="206"/>
      <c r="T242" s="206"/>
      <c r="U242" s="206"/>
      <c r="V242" s="697"/>
      <c r="W242" s="206"/>
      <c r="X242" s="697"/>
      <c r="Y242" s="697"/>
      <c r="Z242" s="206"/>
      <c r="AA242" s="206"/>
      <c r="AB242" s="206"/>
      <c r="AC242" s="207"/>
      <c r="AD242" s="207"/>
      <c r="AE242" s="207"/>
      <c r="AF242" s="207"/>
      <c r="AG242" s="207"/>
      <c r="AH242" s="207"/>
      <c r="AI242" s="191">
        <f>G242*S242</f>
        <v>0</v>
      </c>
      <c r="AJ242" s="191">
        <f>G242*T242</f>
        <v>0</v>
      </c>
      <c r="AK242" s="191">
        <f>R242*S242</f>
        <v>0</v>
      </c>
      <c r="AL242" s="191">
        <f>R242*T242</f>
        <v>0</v>
      </c>
      <c r="AM242" s="191">
        <f t="shared" si="299"/>
        <v>0</v>
      </c>
      <c r="AN242" s="191">
        <f t="shared" si="299"/>
        <v>0</v>
      </c>
      <c r="AO242" s="193">
        <f>Z242*S242</f>
        <v>0</v>
      </c>
      <c r="AP242" s="193">
        <f>Z242*T242</f>
        <v>0</v>
      </c>
      <c r="AQ242" s="193">
        <f>AA242</f>
        <v>0</v>
      </c>
      <c r="AR242" s="193">
        <f>W242*S242</f>
        <v>0</v>
      </c>
      <c r="AS242" s="193">
        <f>W242*T242</f>
        <v>0</v>
      </c>
      <c r="AT242" s="197">
        <f t="shared" si="295"/>
        <v>0</v>
      </c>
      <c r="AU242" s="197">
        <f t="shared" si="295"/>
        <v>0</v>
      </c>
      <c r="AV242" s="191"/>
      <c r="AW242" s="236"/>
      <c r="AX242" s="236"/>
      <c r="AY242" s="619"/>
      <c r="AZ242" s="619"/>
      <c r="BA242" s="619"/>
    </row>
    <row r="243" spans="2:53" s="69" customFormat="1" ht="33">
      <c r="B243" s="660"/>
      <c r="C243" s="185"/>
      <c r="D243" s="186"/>
      <c r="E243" s="660"/>
      <c r="F243" s="660"/>
      <c r="G243" s="187"/>
      <c r="H243" s="674"/>
      <c r="I243" s="660"/>
      <c r="J243" s="674"/>
      <c r="K243" s="660"/>
      <c r="L243" s="660"/>
      <c r="M243" s="674"/>
      <c r="N243" s="660"/>
      <c r="O243" s="674"/>
      <c r="P243" s="660"/>
      <c r="Q243" s="660"/>
      <c r="R243" s="187">
        <f>G243+I243+K243+L243+N243+P243+Q243</f>
        <v>0</v>
      </c>
      <c r="S243" s="187"/>
      <c r="T243" s="660"/>
      <c r="U243" s="660"/>
      <c r="V243" s="674"/>
      <c r="W243" s="660"/>
      <c r="X243" s="674"/>
      <c r="Y243" s="688">
        <v>0</v>
      </c>
      <c r="Z243" s="187">
        <f>R243*Y243</f>
        <v>0</v>
      </c>
      <c r="AA243" s="187"/>
      <c r="AB243" s="187">
        <f>(R243+Z243)*S243+AA243</f>
        <v>0</v>
      </c>
      <c r="AC243" s="689">
        <f>AF243</f>
        <v>0</v>
      </c>
      <c r="AD243" s="689">
        <f>AB243+AC243</f>
        <v>0</v>
      </c>
      <c r="AE243" s="190">
        <f>20000*S243</f>
        <v>0</v>
      </c>
      <c r="AF243" s="190">
        <f>AE243-AB243</f>
        <v>0</v>
      </c>
      <c r="AG243" s="689">
        <f>8000*S243</f>
        <v>0</v>
      </c>
      <c r="AH243" s="190">
        <f>AG243-(R243+Z243)*S243</f>
        <v>0</v>
      </c>
      <c r="AI243" s="191">
        <f>G243*S243</f>
        <v>0</v>
      </c>
      <c r="AJ243" s="191">
        <f>G243*T243</f>
        <v>0</v>
      </c>
      <c r="AK243" s="191">
        <f>R243*S243</f>
        <v>0</v>
      </c>
      <c r="AL243" s="191">
        <f>R243*T243</f>
        <v>0</v>
      </c>
      <c r="AM243" s="191">
        <f t="shared" si="299"/>
        <v>0</v>
      </c>
      <c r="AN243" s="191">
        <f t="shared" si="299"/>
        <v>0</v>
      </c>
      <c r="AO243" s="193">
        <f>Z243*S243</f>
        <v>0</v>
      </c>
      <c r="AP243" s="193">
        <f>Z243*T243</f>
        <v>0</v>
      </c>
      <c r="AQ243" s="193">
        <f>AA243</f>
        <v>0</v>
      </c>
      <c r="AR243" s="193">
        <f>W243*S243</f>
        <v>0</v>
      </c>
      <c r="AS243" s="193">
        <f>W243*T243</f>
        <v>0</v>
      </c>
      <c r="AT243" s="197">
        <f t="shared" si="295"/>
        <v>0</v>
      </c>
      <c r="AU243" s="197">
        <f t="shared" si="295"/>
        <v>0</v>
      </c>
      <c r="AV243" s="191"/>
      <c r="AW243" s="236">
        <f>AT243+AU243-AV243</f>
        <v>0</v>
      </c>
      <c r="AX243" s="236"/>
      <c r="AY243" s="619"/>
      <c r="AZ243" s="619"/>
      <c r="BA243" s="619"/>
    </row>
    <row r="244" spans="2:53" s="69" customFormat="1" ht="58.5">
      <c r="B244" s="660">
        <f>1+B238</f>
        <v>157</v>
      </c>
      <c r="C244" s="185" t="s">
        <v>1008</v>
      </c>
      <c r="D244" s="186" t="s">
        <v>1693</v>
      </c>
      <c r="E244" s="660" t="s">
        <v>1694</v>
      </c>
      <c r="F244" s="660">
        <v>13</v>
      </c>
      <c r="G244" s="187">
        <v>7253</v>
      </c>
      <c r="H244" s="674"/>
      <c r="I244" s="660"/>
      <c r="J244" s="674"/>
      <c r="K244" s="660"/>
      <c r="L244" s="660"/>
      <c r="M244" s="674"/>
      <c r="N244" s="660"/>
      <c r="O244" s="674"/>
      <c r="P244" s="660"/>
      <c r="Q244" s="660"/>
      <c r="R244" s="187">
        <f>G244+I244+K244+L244+N244+P244+Q244</f>
        <v>7253</v>
      </c>
      <c r="S244" s="187"/>
      <c r="T244" s="187">
        <v>0.5</v>
      </c>
      <c r="U244" s="660"/>
      <c r="V244" s="674"/>
      <c r="W244" s="660"/>
      <c r="X244" s="674">
        <v>15</v>
      </c>
      <c r="Y244" s="688">
        <v>0.2</v>
      </c>
      <c r="Z244" s="187">
        <f>R244*Y244</f>
        <v>1450.6000000000001</v>
      </c>
      <c r="AA244" s="187"/>
      <c r="AB244" s="187">
        <f>(R244+Z244)*T244+AA244</f>
        <v>4351.8</v>
      </c>
      <c r="AC244" s="689">
        <f>AF244</f>
        <v>5648.2</v>
      </c>
      <c r="AD244" s="689">
        <f>AB244+AC244</f>
        <v>10000</v>
      </c>
      <c r="AE244" s="190">
        <f>20000*T244</f>
        <v>10000</v>
      </c>
      <c r="AF244" s="190">
        <f>AE244-AB244</f>
        <v>5648.2</v>
      </c>
      <c r="AG244" s="689">
        <f>8000*T244</f>
        <v>4000</v>
      </c>
      <c r="AH244" s="190">
        <f>AG244-(R244+Z244)*T244</f>
        <v>-351.80000000000018</v>
      </c>
      <c r="AI244" s="191">
        <f>G244*S244</f>
        <v>0</v>
      </c>
      <c r="AJ244" s="191">
        <f>G244*T244</f>
        <v>3626.5</v>
      </c>
      <c r="AK244" s="191">
        <f>R244*S244</f>
        <v>0</v>
      </c>
      <c r="AL244" s="191">
        <f>R244*T244</f>
        <v>3626.5</v>
      </c>
      <c r="AM244" s="191">
        <f t="shared" si="299"/>
        <v>0</v>
      </c>
      <c r="AN244" s="191">
        <f t="shared" si="299"/>
        <v>0</v>
      </c>
      <c r="AO244" s="193">
        <f>Z244*S244</f>
        <v>0</v>
      </c>
      <c r="AP244" s="193">
        <f>Z244*T244</f>
        <v>725.30000000000007</v>
      </c>
      <c r="AQ244" s="193">
        <f>AA244</f>
        <v>0</v>
      </c>
      <c r="AR244" s="193">
        <f>W244*S244</f>
        <v>0</v>
      </c>
      <c r="AS244" s="193">
        <f>W244*T244</f>
        <v>0</v>
      </c>
      <c r="AT244" s="197">
        <f t="shared" si="295"/>
        <v>0</v>
      </c>
      <c r="AU244" s="197">
        <f t="shared" si="295"/>
        <v>3626.5</v>
      </c>
      <c r="AV244" s="191"/>
      <c r="AW244" s="236">
        <f>R244*T244</f>
        <v>3626.5</v>
      </c>
      <c r="AX244" s="236"/>
      <c r="AY244" s="619"/>
      <c r="AZ244" s="619"/>
      <c r="BA244" s="619"/>
    </row>
    <row r="245" spans="2:53" s="69" customFormat="1" ht="33">
      <c r="B245" s="660">
        <f>B244+1</f>
        <v>158</v>
      </c>
      <c r="C245" s="185" t="s">
        <v>1008</v>
      </c>
      <c r="D245" s="186"/>
      <c r="E245" s="660"/>
      <c r="F245" s="660">
        <v>13</v>
      </c>
      <c r="G245" s="187">
        <v>7253</v>
      </c>
      <c r="H245" s="674"/>
      <c r="I245" s="660"/>
      <c r="J245" s="674"/>
      <c r="K245" s="660"/>
      <c r="L245" s="660"/>
      <c r="M245" s="674"/>
      <c r="N245" s="660"/>
      <c r="O245" s="674"/>
      <c r="P245" s="660"/>
      <c r="Q245" s="660"/>
      <c r="R245" s="187">
        <f>G245+I245+K245+L245+N245+P245+Q245</f>
        <v>7253</v>
      </c>
      <c r="S245" s="187">
        <v>0.5</v>
      </c>
      <c r="T245" s="187"/>
      <c r="U245" s="660"/>
      <c r="V245" s="674"/>
      <c r="W245" s="660"/>
      <c r="X245" s="674"/>
      <c r="Y245" s="688"/>
      <c r="Z245" s="187">
        <f>R245*Y245</f>
        <v>0</v>
      </c>
      <c r="AA245" s="187">
        <f>AH245</f>
        <v>373.5</v>
      </c>
      <c r="AB245" s="187">
        <f>(R245+Z245)*S245+AA245</f>
        <v>4000</v>
      </c>
      <c r="AC245" s="689">
        <f>AF245</f>
        <v>6000</v>
      </c>
      <c r="AD245" s="689">
        <f>AB245+AC245</f>
        <v>10000</v>
      </c>
      <c r="AE245" s="190">
        <f>20000*S245</f>
        <v>10000</v>
      </c>
      <c r="AF245" s="190">
        <f>AE245-AB245</f>
        <v>6000</v>
      </c>
      <c r="AG245" s="689">
        <f>8000*S245</f>
        <v>4000</v>
      </c>
      <c r="AH245" s="190">
        <f>AG245-(R245+Z245)*S245</f>
        <v>373.5</v>
      </c>
      <c r="AI245" s="191"/>
      <c r="AJ245" s="191"/>
      <c r="AK245" s="191"/>
      <c r="AL245" s="191"/>
      <c r="AM245" s="191"/>
      <c r="AN245" s="191"/>
      <c r="AO245" s="193"/>
      <c r="AP245" s="193"/>
      <c r="AQ245" s="193"/>
      <c r="AR245" s="193"/>
      <c r="AS245" s="193"/>
      <c r="AT245" s="197"/>
      <c r="AU245" s="197"/>
      <c r="AV245" s="191"/>
      <c r="AW245" s="236">
        <f>R245*S245</f>
        <v>3626.5</v>
      </c>
      <c r="AX245" s="236"/>
      <c r="AY245" s="619"/>
      <c r="AZ245" s="619"/>
      <c r="BA245" s="619"/>
    </row>
    <row r="246" spans="2:53" s="69" customFormat="1" ht="31.5">
      <c r="B246" s="660"/>
      <c r="C246" s="168" t="s">
        <v>1662</v>
      </c>
      <c r="D246" s="195"/>
      <c r="E246" s="181"/>
      <c r="F246" s="181"/>
      <c r="G246" s="171">
        <f>SUM(G244:G245)</f>
        <v>14506</v>
      </c>
      <c r="H246" s="703"/>
      <c r="I246" s="171">
        <f>SUM(I243:I244)</f>
        <v>0</v>
      </c>
      <c r="J246" s="682"/>
      <c r="K246" s="181"/>
      <c r="L246" s="181"/>
      <c r="M246" s="682"/>
      <c r="N246" s="181"/>
      <c r="O246" s="682"/>
      <c r="P246" s="181"/>
      <c r="Q246" s="181"/>
      <c r="R246" s="171">
        <f>SUM(R244:R245)</f>
        <v>14506</v>
      </c>
      <c r="S246" s="171">
        <f>SUM(S244:S245)</f>
        <v>0.5</v>
      </c>
      <c r="T246" s="171">
        <f>SUM(T244:T245)</f>
        <v>0.5</v>
      </c>
      <c r="U246" s="171"/>
      <c r="V246" s="693"/>
      <c r="W246" s="171"/>
      <c r="X246" s="693"/>
      <c r="Y246" s="693"/>
      <c r="Z246" s="171">
        <f>SUM(Z244:Z245)</f>
        <v>1450.6000000000001</v>
      </c>
      <c r="AA246" s="171">
        <f>SUM(AA244:AA245)</f>
        <v>373.5</v>
      </c>
      <c r="AB246" s="171">
        <f>SUM(AB244:AB245)</f>
        <v>8351.7999999999993</v>
      </c>
      <c r="AC246" s="171">
        <f>SUM(AC244:AC245)</f>
        <v>11648.2</v>
      </c>
      <c r="AD246" s="171">
        <f t="shared" ref="AD246:AW246" si="300">SUM(AD244:AD245)</f>
        <v>20000</v>
      </c>
      <c r="AE246" s="171">
        <f t="shared" si="300"/>
        <v>20000</v>
      </c>
      <c r="AF246" s="171">
        <f t="shared" si="300"/>
        <v>11648.2</v>
      </c>
      <c r="AG246" s="171">
        <f t="shared" si="300"/>
        <v>8000</v>
      </c>
      <c r="AH246" s="171">
        <f t="shared" si="300"/>
        <v>21.699999999999818</v>
      </c>
      <c r="AI246" s="171">
        <f t="shared" si="300"/>
        <v>0</v>
      </c>
      <c r="AJ246" s="171">
        <f t="shared" si="300"/>
        <v>3626.5</v>
      </c>
      <c r="AK246" s="171">
        <f t="shared" si="300"/>
        <v>0</v>
      </c>
      <c r="AL246" s="171">
        <f t="shared" si="300"/>
        <v>3626.5</v>
      </c>
      <c r="AM246" s="171">
        <f t="shared" si="300"/>
        <v>0</v>
      </c>
      <c r="AN246" s="171">
        <f t="shared" si="300"/>
        <v>0</v>
      </c>
      <c r="AO246" s="171">
        <f t="shared" si="300"/>
        <v>0</v>
      </c>
      <c r="AP246" s="171">
        <f t="shared" si="300"/>
        <v>725.30000000000007</v>
      </c>
      <c r="AQ246" s="171">
        <f t="shared" si="300"/>
        <v>0</v>
      </c>
      <c r="AR246" s="171">
        <f t="shared" si="300"/>
        <v>0</v>
      </c>
      <c r="AS246" s="171">
        <f t="shared" si="300"/>
        <v>0</v>
      </c>
      <c r="AT246" s="171">
        <f t="shared" si="300"/>
        <v>0</v>
      </c>
      <c r="AU246" s="171">
        <f t="shared" si="300"/>
        <v>3626.5</v>
      </c>
      <c r="AV246" s="171">
        <f t="shared" si="300"/>
        <v>0</v>
      </c>
      <c r="AW246" s="171">
        <f t="shared" si="300"/>
        <v>7253</v>
      </c>
      <c r="AX246" s="171">
        <f>SUM(AX244:AX245)</f>
        <v>0</v>
      </c>
      <c r="AY246" s="619"/>
      <c r="AZ246" s="619"/>
      <c r="BA246" s="619"/>
    </row>
    <row r="247" spans="2:53" s="69" customFormat="1" ht="33">
      <c r="B247" s="660"/>
      <c r="C247" s="208" t="s">
        <v>1508</v>
      </c>
      <c r="D247" s="180"/>
      <c r="E247" s="181"/>
      <c r="F247" s="181"/>
      <c r="G247" s="181"/>
      <c r="H247" s="682"/>
      <c r="I247" s="181"/>
      <c r="J247" s="682"/>
      <c r="K247" s="181"/>
      <c r="L247" s="181"/>
      <c r="M247" s="682"/>
      <c r="N247" s="181"/>
      <c r="O247" s="682"/>
      <c r="P247" s="181"/>
      <c r="Q247" s="181"/>
      <c r="R247" s="181"/>
      <c r="S247" s="181"/>
      <c r="T247" s="181"/>
      <c r="U247" s="181"/>
      <c r="V247" s="683"/>
      <c r="W247" s="181"/>
      <c r="X247" s="683"/>
      <c r="Y247" s="683"/>
      <c r="Z247" s="181"/>
      <c r="AA247" s="181"/>
      <c r="AB247" s="181"/>
      <c r="AC247" s="183"/>
      <c r="AD247" s="183"/>
      <c r="AE247" s="183"/>
      <c r="AF247" s="183"/>
      <c r="AG247" s="183"/>
      <c r="AH247" s="183"/>
      <c r="AI247" s="191"/>
      <c r="AJ247" s="191"/>
      <c r="AK247" s="191"/>
      <c r="AL247" s="191"/>
      <c r="AM247" s="191"/>
      <c r="AN247" s="191"/>
      <c r="AO247" s="193"/>
      <c r="AP247" s="193"/>
      <c r="AQ247" s="193"/>
      <c r="AR247" s="193"/>
      <c r="AS247" s="193"/>
      <c r="AT247" s="197"/>
      <c r="AU247" s="197"/>
      <c r="AV247" s="191"/>
      <c r="AW247" s="236"/>
      <c r="AX247" s="236"/>
      <c r="AY247" s="619"/>
      <c r="AZ247" s="619"/>
      <c r="BA247" s="619"/>
    </row>
    <row r="248" spans="2:53" s="69" customFormat="1" ht="63">
      <c r="B248" s="660">
        <f>B245+1</f>
        <v>159</v>
      </c>
      <c r="C248" s="185" t="s">
        <v>1050</v>
      </c>
      <c r="D248" s="186" t="s">
        <v>1297</v>
      </c>
      <c r="E248" s="194" t="s">
        <v>1092</v>
      </c>
      <c r="F248" s="660">
        <v>9</v>
      </c>
      <c r="G248" s="187">
        <v>5527</v>
      </c>
      <c r="H248" s="688">
        <v>0.1</v>
      </c>
      <c r="I248" s="187">
        <f>G248*H248</f>
        <v>552.70000000000005</v>
      </c>
      <c r="J248" s="687"/>
      <c r="K248" s="187"/>
      <c r="L248" s="187"/>
      <c r="M248" s="687"/>
      <c r="N248" s="187"/>
      <c r="O248" s="687"/>
      <c r="P248" s="187"/>
      <c r="Q248" s="187"/>
      <c r="R248" s="187">
        <f t="shared" ref="R248:R253" si="301">G248+I248+K248+L248+N248+P248+Q248</f>
        <v>6079.7</v>
      </c>
      <c r="S248" s="187">
        <v>1</v>
      </c>
      <c r="T248" s="187"/>
      <c r="U248" s="187"/>
      <c r="V248" s="687"/>
      <c r="W248" s="187"/>
      <c r="X248" s="674">
        <v>17</v>
      </c>
      <c r="Y248" s="688">
        <v>0.2</v>
      </c>
      <c r="Z248" s="187">
        <f t="shared" ref="Z248:Z253" si="302">R248*Y248</f>
        <v>1215.94</v>
      </c>
      <c r="AA248" s="187">
        <f t="shared" ref="AA248:AA253" si="303">AH248</f>
        <v>704.36000000000058</v>
      </c>
      <c r="AB248" s="187">
        <f t="shared" ref="AB248:AB253" si="304">(R248+Z248)*S248+AA248</f>
        <v>8000</v>
      </c>
      <c r="AC248" s="689">
        <f t="shared" ref="AC248:AC253" si="305">AF248</f>
        <v>5500</v>
      </c>
      <c r="AD248" s="689">
        <f t="shared" ref="AD248:AD253" si="306">AB248+AC248</f>
        <v>13500</v>
      </c>
      <c r="AE248" s="190">
        <f t="shared" ref="AE248:AE253" si="307">13500*S248</f>
        <v>13500</v>
      </c>
      <c r="AF248" s="190">
        <f t="shared" ref="AF248:AF253" si="308">AE248-AB248</f>
        <v>5500</v>
      </c>
      <c r="AG248" s="689">
        <f t="shared" ref="AG248:AG253" si="309">8000*S248</f>
        <v>8000</v>
      </c>
      <c r="AH248" s="190">
        <f t="shared" ref="AH248:AH253" si="310">AG248-(R248+Z248)*S248</f>
        <v>704.36000000000058</v>
      </c>
      <c r="AI248" s="191">
        <f t="shared" ref="AI248:AI253" si="311">G248*S248</f>
        <v>5527</v>
      </c>
      <c r="AJ248" s="191">
        <f t="shared" ref="AJ248:AJ253" si="312">G248*T248</f>
        <v>0</v>
      </c>
      <c r="AK248" s="191">
        <f t="shared" ref="AK248:AK253" si="313">R248*S248</f>
        <v>6079.7</v>
      </c>
      <c r="AL248" s="191">
        <f t="shared" ref="AL248:AL253" si="314">R248*T248</f>
        <v>0</v>
      </c>
      <c r="AM248" s="191">
        <f t="shared" ref="AM248:AN253" si="315">AK248-AI248</f>
        <v>552.69999999999982</v>
      </c>
      <c r="AN248" s="191">
        <f t="shared" si="315"/>
        <v>0</v>
      </c>
      <c r="AO248" s="193">
        <f t="shared" ref="AO248:AO253" si="316">Z248*S248</f>
        <v>1215.94</v>
      </c>
      <c r="AP248" s="193">
        <f t="shared" ref="AP248:AP253" si="317">Z248*T248</f>
        <v>0</v>
      </c>
      <c r="AQ248" s="193">
        <f t="shared" ref="AQ248:AQ253" si="318">AA248</f>
        <v>704.36000000000058</v>
      </c>
      <c r="AR248" s="193">
        <f t="shared" ref="AR248:AR253" si="319">W248*S248</f>
        <v>0</v>
      </c>
      <c r="AS248" s="193">
        <f t="shared" ref="AS248:AS253" si="320">W248*T248</f>
        <v>0</v>
      </c>
      <c r="AT248" s="197">
        <f t="shared" si="295"/>
        <v>6079.7</v>
      </c>
      <c r="AU248" s="197">
        <f t="shared" si="295"/>
        <v>0</v>
      </c>
      <c r="AV248" s="191"/>
      <c r="AW248" s="236">
        <f t="shared" ref="AW248:AW253" si="321">R248*S248</f>
        <v>6079.7</v>
      </c>
      <c r="AX248" s="236"/>
      <c r="AY248" s="619"/>
      <c r="AZ248" s="619"/>
      <c r="BA248" s="619"/>
    </row>
    <row r="249" spans="2:53" s="69" customFormat="1" ht="63">
      <c r="B249" s="660">
        <f>1+B248</f>
        <v>160</v>
      </c>
      <c r="C249" s="185" t="s">
        <v>1091</v>
      </c>
      <c r="D249" s="186" t="s">
        <v>273</v>
      </c>
      <c r="E249" s="660" t="s">
        <v>1093</v>
      </c>
      <c r="F249" s="660">
        <v>9</v>
      </c>
      <c r="G249" s="187">
        <v>5527</v>
      </c>
      <c r="H249" s="687"/>
      <c r="I249" s="187"/>
      <c r="J249" s="687"/>
      <c r="K249" s="187"/>
      <c r="L249" s="187"/>
      <c r="M249" s="687"/>
      <c r="N249" s="187"/>
      <c r="O249" s="687"/>
      <c r="P249" s="187"/>
      <c r="Q249" s="187"/>
      <c r="R249" s="187">
        <f t="shared" si="301"/>
        <v>5527</v>
      </c>
      <c r="S249" s="187">
        <f>0.5+0.5</f>
        <v>1</v>
      </c>
      <c r="T249" s="187"/>
      <c r="U249" s="187"/>
      <c r="V249" s="687"/>
      <c r="W249" s="187"/>
      <c r="X249" s="674">
        <v>36</v>
      </c>
      <c r="Y249" s="688">
        <v>0.3</v>
      </c>
      <c r="Z249" s="187">
        <f t="shared" si="302"/>
        <v>1658.1</v>
      </c>
      <c r="AA249" s="187">
        <f t="shared" si="303"/>
        <v>814.89999999999964</v>
      </c>
      <c r="AB249" s="187">
        <f t="shared" si="304"/>
        <v>8000</v>
      </c>
      <c r="AC249" s="689">
        <f t="shared" si="305"/>
        <v>5500</v>
      </c>
      <c r="AD249" s="689">
        <f t="shared" si="306"/>
        <v>13500</v>
      </c>
      <c r="AE249" s="190">
        <f t="shared" si="307"/>
        <v>13500</v>
      </c>
      <c r="AF249" s="190">
        <f t="shared" si="308"/>
        <v>5500</v>
      </c>
      <c r="AG249" s="689">
        <f t="shared" si="309"/>
        <v>8000</v>
      </c>
      <c r="AH249" s="190">
        <f t="shared" si="310"/>
        <v>814.89999999999964</v>
      </c>
      <c r="AI249" s="191">
        <f t="shared" si="311"/>
        <v>5527</v>
      </c>
      <c r="AJ249" s="191">
        <f t="shared" si="312"/>
        <v>0</v>
      </c>
      <c r="AK249" s="191">
        <f t="shared" si="313"/>
        <v>5527</v>
      </c>
      <c r="AL249" s="191">
        <f t="shared" si="314"/>
        <v>0</v>
      </c>
      <c r="AM249" s="191">
        <f t="shared" si="315"/>
        <v>0</v>
      </c>
      <c r="AN249" s="191">
        <f t="shared" si="315"/>
        <v>0</v>
      </c>
      <c r="AO249" s="193">
        <f t="shared" si="316"/>
        <v>1658.1</v>
      </c>
      <c r="AP249" s="193">
        <f t="shared" si="317"/>
        <v>0</v>
      </c>
      <c r="AQ249" s="193">
        <f t="shared" si="318"/>
        <v>814.89999999999964</v>
      </c>
      <c r="AR249" s="193">
        <f t="shared" si="319"/>
        <v>0</v>
      </c>
      <c r="AS249" s="193">
        <f t="shared" si="320"/>
        <v>0</v>
      </c>
      <c r="AT249" s="197">
        <f t="shared" si="295"/>
        <v>5527</v>
      </c>
      <c r="AU249" s="197">
        <f t="shared" si="295"/>
        <v>0</v>
      </c>
      <c r="AV249" s="191"/>
      <c r="AW249" s="236">
        <f t="shared" si="321"/>
        <v>5527</v>
      </c>
      <c r="AX249" s="236"/>
      <c r="AY249" s="619"/>
      <c r="AZ249" s="619"/>
      <c r="BA249" s="619"/>
    </row>
    <row r="250" spans="2:53" s="69" customFormat="1" ht="63">
      <c r="B250" s="660">
        <f>1+B249</f>
        <v>161</v>
      </c>
      <c r="C250" s="185" t="s">
        <v>1091</v>
      </c>
      <c r="D250" s="186" t="s">
        <v>274</v>
      </c>
      <c r="E250" s="660" t="s">
        <v>1058</v>
      </c>
      <c r="F250" s="660">
        <v>9</v>
      </c>
      <c r="G250" s="187">
        <v>5527</v>
      </c>
      <c r="H250" s="687"/>
      <c r="I250" s="187"/>
      <c r="J250" s="687"/>
      <c r="K250" s="187"/>
      <c r="L250" s="187"/>
      <c r="M250" s="687"/>
      <c r="N250" s="187"/>
      <c r="O250" s="687"/>
      <c r="P250" s="187"/>
      <c r="Q250" s="187"/>
      <c r="R250" s="187">
        <f t="shared" si="301"/>
        <v>5527</v>
      </c>
      <c r="S250" s="187">
        <v>1</v>
      </c>
      <c r="T250" s="187"/>
      <c r="U250" s="187"/>
      <c r="V250" s="687"/>
      <c r="W250" s="187"/>
      <c r="X250" s="674">
        <v>29</v>
      </c>
      <c r="Y250" s="688">
        <v>0.3</v>
      </c>
      <c r="Z250" s="187">
        <f t="shared" si="302"/>
        <v>1658.1</v>
      </c>
      <c r="AA250" s="187">
        <f t="shared" si="303"/>
        <v>814.89999999999964</v>
      </c>
      <c r="AB250" s="187">
        <f t="shared" si="304"/>
        <v>8000</v>
      </c>
      <c r="AC250" s="689">
        <f t="shared" si="305"/>
        <v>5500</v>
      </c>
      <c r="AD250" s="689">
        <f t="shared" si="306"/>
        <v>13500</v>
      </c>
      <c r="AE250" s="190">
        <f t="shared" si="307"/>
        <v>13500</v>
      </c>
      <c r="AF250" s="190">
        <f t="shared" si="308"/>
        <v>5500</v>
      </c>
      <c r="AG250" s="689">
        <f t="shared" si="309"/>
        <v>8000</v>
      </c>
      <c r="AH250" s="190">
        <f t="shared" si="310"/>
        <v>814.89999999999964</v>
      </c>
      <c r="AI250" s="191">
        <f t="shared" si="311"/>
        <v>5527</v>
      </c>
      <c r="AJ250" s="191">
        <f t="shared" si="312"/>
        <v>0</v>
      </c>
      <c r="AK250" s="191">
        <f t="shared" si="313"/>
        <v>5527</v>
      </c>
      <c r="AL250" s="191">
        <f t="shared" si="314"/>
        <v>0</v>
      </c>
      <c r="AM250" s="191">
        <f t="shared" si="315"/>
        <v>0</v>
      </c>
      <c r="AN250" s="191">
        <f t="shared" si="315"/>
        <v>0</v>
      </c>
      <c r="AO250" s="193">
        <f t="shared" si="316"/>
        <v>1658.1</v>
      </c>
      <c r="AP250" s="193">
        <f t="shared" si="317"/>
        <v>0</v>
      </c>
      <c r="AQ250" s="193">
        <f t="shared" si="318"/>
        <v>814.89999999999964</v>
      </c>
      <c r="AR250" s="193">
        <f t="shared" si="319"/>
        <v>0</v>
      </c>
      <c r="AS250" s="193">
        <f t="shared" si="320"/>
        <v>0</v>
      </c>
      <c r="AT250" s="197">
        <f t="shared" si="295"/>
        <v>5527</v>
      </c>
      <c r="AU250" s="197">
        <f t="shared" si="295"/>
        <v>0</v>
      </c>
      <c r="AV250" s="191"/>
      <c r="AW250" s="236">
        <f t="shared" si="321"/>
        <v>5527</v>
      </c>
      <c r="AX250" s="236"/>
      <c r="AY250" s="619"/>
      <c r="AZ250" s="619"/>
      <c r="BA250" s="619"/>
    </row>
    <row r="251" spans="2:53" s="69" customFormat="1" ht="63">
      <c r="B251" s="660">
        <f>1+B250</f>
        <v>162</v>
      </c>
      <c r="C251" s="185" t="s">
        <v>1091</v>
      </c>
      <c r="D251" s="186" t="s">
        <v>275</v>
      </c>
      <c r="E251" s="660" t="s">
        <v>1078</v>
      </c>
      <c r="F251" s="660">
        <v>9</v>
      </c>
      <c r="G251" s="187">
        <v>5527</v>
      </c>
      <c r="H251" s="687"/>
      <c r="I251" s="187"/>
      <c r="J251" s="687"/>
      <c r="K251" s="187"/>
      <c r="L251" s="187"/>
      <c r="M251" s="687"/>
      <c r="N251" s="187"/>
      <c r="O251" s="687"/>
      <c r="P251" s="194"/>
      <c r="Q251" s="194"/>
      <c r="R251" s="187">
        <f t="shared" si="301"/>
        <v>5527</v>
      </c>
      <c r="S251" s="187">
        <v>1</v>
      </c>
      <c r="T251" s="187"/>
      <c r="U251" s="194"/>
      <c r="V251" s="692"/>
      <c r="W251" s="194"/>
      <c r="X251" s="674">
        <v>17</v>
      </c>
      <c r="Y251" s="688">
        <v>0.2</v>
      </c>
      <c r="Z251" s="187">
        <f t="shared" si="302"/>
        <v>1105.4000000000001</v>
      </c>
      <c r="AA251" s="187">
        <f t="shared" si="303"/>
        <v>1367.6000000000004</v>
      </c>
      <c r="AB251" s="187">
        <f t="shared" si="304"/>
        <v>8000</v>
      </c>
      <c r="AC251" s="689">
        <f>AF251</f>
        <v>5500</v>
      </c>
      <c r="AD251" s="689">
        <f t="shared" si="306"/>
        <v>13500</v>
      </c>
      <c r="AE251" s="190">
        <f t="shared" si="307"/>
        <v>13500</v>
      </c>
      <c r="AF251" s="190">
        <f t="shared" si="308"/>
        <v>5500</v>
      </c>
      <c r="AG251" s="689">
        <f t="shared" si="309"/>
        <v>8000</v>
      </c>
      <c r="AH251" s="190">
        <f t="shared" si="310"/>
        <v>1367.6000000000004</v>
      </c>
      <c r="AI251" s="191">
        <f t="shared" si="311"/>
        <v>5527</v>
      </c>
      <c r="AJ251" s="191">
        <f t="shared" si="312"/>
        <v>0</v>
      </c>
      <c r="AK251" s="191">
        <f t="shared" si="313"/>
        <v>5527</v>
      </c>
      <c r="AL251" s="191">
        <f t="shared" si="314"/>
        <v>0</v>
      </c>
      <c r="AM251" s="191">
        <f t="shared" si="315"/>
        <v>0</v>
      </c>
      <c r="AN251" s="191">
        <f t="shared" si="315"/>
        <v>0</v>
      </c>
      <c r="AO251" s="193">
        <f t="shared" si="316"/>
        <v>1105.4000000000001</v>
      </c>
      <c r="AP251" s="193">
        <f t="shared" si="317"/>
        <v>0</v>
      </c>
      <c r="AQ251" s="193">
        <f t="shared" si="318"/>
        <v>1367.6000000000004</v>
      </c>
      <c r="AR251" s="193">
        <f t="shared" si="319"/>
        <v>0</v>
      </c>
      <c r="AS251" s="193">
        <f t="shared" si="320"/>
        <v>0</v>
      </c>
      <c r="AT251" s="197">
        <f t="shared" si="295"/>
        <v>5527</v>
      </c>
      <c r="AU251" s="197">
        <f t="shared" si="295"/>
        <v>0</v>
      </c>
      <c r="AV251" s="191"/>
      <c r="AW251" s="236">
        <f t="shared" si="321"/>
        <v>5527</v>
      </c>
      <c r="AX251" s="236"/>
      <c r="AY251" s="619"/>
      <c r="AZ251" s="619"/>
      <c r="BA251" s="619"/>
    </row>
    <row r="252" spans="2:53" s="69" customFormat="1" ht="63">
      <c r="B252" s="660">
        <f>1+B251</f>
        <v>163</v>
      </c>
      <c r="C252" s="185" t="s">
        <v>1091</v>
      </c>
      <c r="D252" s="186" t="s">
        <v>276</v>
      </c>
      <c r="E252" s="660" t="s">
        <v>1096</v>
      </c>
      <c r="F252" s="660">
        <v>9</v>
      </c>
      <c r="G252" s="187">
        <v>5527</v>
      </c>
      <c r="H252" s="687"/>
      <c r="I252" s="187"/>
      <c r="J252" s="688"/>
      <c r="K252" s="189"/>
      <c r="L252" s="189"/>
      <c r="M252" s="687"/>
      <c r="N252" s="187"/>
      <c r="O252" s="687"/>
      <c r="P252" s="194"/>
      <c r="Q252" s="194"/>
      <c r="R252" s="187">
        <f t="shared" si="301"/>
        <v>5527</v>
      </c>
      <c r="S252" s="187">
        <v>1</v>
      </c>
      <c r="T252" s="187"/>
      <c r="U252" s="194"/>
      <c r="V252" s="692"/>
      <c r="W252" s="194"/>
      <c r="X252" s="674">
        <v>22</v>
      </c>
      <c r="Y252" s="688">
        <v>0.3</v>
      </c>
      <c r="Z252" s="187">
        <f t="shared" si="302"/>
        <v>1658.1</v>
      </c>
      <c r="AA252" s="187">
        <f t="shared" si="303"/>
        <v>814.89999999999964</v>
      </c>
      <c r="AB252" s="187">
        <f t="shared" si="304"/>
        <v>8000</v>
      </c>
      <c r="AC252" s="689">
        <f t="shared" si="305"/>
        <v>5500</v>
      </c>
      <c r="AD252" s="689">
        <f t="shared" si="306"/>
        <v>13500</v>
      </c>
      <c r="AE252" s="190">
        <f t="shared" si="307"/>
        <v>13500</v>
      </c>
      <c r="AF252" s="190">
        <f t="shared" si="308"/>
        <v>5500</v>
      </c>
      <c r="AG252" s="689">
        <f t="shared" si="309"/>
        <v>8000</v>
      </c>
      <c r="AH252" s="190">
        <f t="shared" si="310"/>
        <v>814.89999999999964</v>
      </c>
      <c r="AI252" s="191">
        <f t="shared" si="311"/>
        <v>5527</v>
      </c>
      <c r="AJ252" s="191">
        <f t="shared" si="312"/>
        <v>0</v>
      </c>
      <c r="AK252" s="191">
        <f t="shared" si="313"/>
        <v>5527</v>
      </c>
      <c r="AL252" s="191">
        <f t="shared" si="314"/>
        <v>0</v>
      </c>
      <c r="AM252" s="191">
        <f t="shared" si="315"/>
        <v>0</v>
      </c>
      <c r="AN252" s="191">
        <f>AL252-AJ252</f>
        <v>0</v>
      </c>
      <c r="AO252" s="193">
        <f t="shared" si="316"/>
        <v>1658.1</v>
      </c>
      <c r="AP252" s="193">
        <f t="shared" si="317"/>
        <v>0</v>
      </c>
      <c r="AQ252" s="193">
        <f t="shared" si="318"/>
        <v>814.89999999999964</v>
      </c>
      <c r="AR252" s="193">
        <f t="shared" si="319"/>
        <v>0</v>
      </c>
      <c r="AS252" s="193">
        <f t="shared" si="320"/>
        <v>0</v>
      </c>
      <c r="AT252" s="197">
        <f t="shared" si="295"/>
        <v>5527</v>
      </c>
      <c r="AU252" s="197">
        <f t="shared" si="295"/>
        <v>0</v>
      </c>
      <c r="AV252" s="191"/>
      <c r="AW252" s="236">
        <f t="shared" si="321"/>
        <v>5527</v>
      </c>
      <c r="AX252" s="236"/>
      <c r="AY252" s="619"/>
      <c r="AZ252" s="619"/>
      <c r="BA252" s="619"/>
    </row>
    <row r="253" spans="2:53" s="69" customFormat="1" ht="69" customHeight="1">
      <c r="B253" s="660">
        <f>1+B252</f>
        <v>164</v>
      </c>
      <c r="C253" s="185" t="s">
        <v>1091</v>
      </c>
      <c r="D253" s="186" t="s">
        <v>273</v>
      </c>
      <c r="E253" s="660" t="s">
        <v>1079</v>
      </c>
      <c r="F253" s="660">
        <v>9</v>
      </c>
      <c r="G253" s="187">
        <v>5527</v>
      </c>
      <c r="H253" s="687"/>
      <c r="I253" s="187"/>
      <c r="J253" s="688"/>
      <c r="K253" s="189"/>
      <c r="L253" s="189"/>
      <c r="M253" s="687"/>
      <c r="N253" s="187"/>
      <c r="O253" s="687"/>
      <c r="P253" s="194"/>
      <c r="Q253" s="194"/>
      <c r="R253" s="187">
        <f t="shared" si="301"/>
        <v>5527</v>
      </c>
      <c r="S253" s="187">
        <v>1</v>
      </c>
      <c r="T253" s="187"/>
      <c r="U253" s="194"/>
      <c r="V253" s="692"/>
      <c r="W253" s="194"/>
      <c r="X253" s="674">
        <v>36</v>
      </c>
      <c r="Y253" s="688">
        <v>0.3</v>
      </c>
      <c r="Z253" s="187">
        <f t="shared" si="302"/>
        <v>1658.1</v>
      </c>
      <c r="AA253" s="187">
        <f t="shared" si="303"/>
        <v>814.89999999999964</v>
      </c>
      <c r="AB253" s="187">
        <f t="shared" si="304"/>
        <v>8000</v>
      </c>
      <c r="AC253" s="689">
        <f t="shared" si="305"/>
        <v>5500</v>
      </c>
      <c r="AD253" s="689">
        <f t="shared" si="306"/>
        <v>13500</v>
      </c>
      <c r="AE253" s="190">
        <f t="shared" si="307"/>
        <v>13500</v>
      </c>
      <c r="AF253" s="190">
        <f t="shared" si="308"/>
        <v>5500</v>
      </c>
      <c r="AG253" s="689">
        <f t="shared" si="309"/>
        <v>8000</v>
      </c>
      <c r="AH253" s="190">
        <f t="shared" si="310"/>
        <v>814.89999999999964</v>
      </c>
      <c r="AI253" s="191">
        <f t="shared" si="311"/>
        <v>5527</v>
      </c>
      <c r="AJ253" s="191">
        <f t="shared" si="312"/>
        <v>0</v>
      </c>
      <c r="AK253" s="191">
        <f t="shared" si="313"/>
        <v>5527</v>
      </c>
      <c r="AL253" s="191">
        <f t="shared" si="314"/>
        <v>0</v>
      </c>
      <c r="AM253" s="191">
        <f t="shared" si="315"/>
        <v>0</v>
      </c>
      <c r="AN253" s="191">
        <f t="shared" si="315"/>
        <v>0</v>
      </c>
      <c r="AO253" s="193">
        <f t="shared" si="316"/>
        <v>1658.1</v>
      </c>
      <c r="AP253" s="193">
        <f t="shared" si="317"/>
        <v>0</v>
      </c>
      <c r="AQ253" s="193">
        <f t="shared" si="318"/>
        <v>814.89999999999964</v>
      </c>
      <c r="AR253" s="193">
        <f t="shared" si="319"/>
        <v>0</v>
      </c>
      <c r="AS253" s="193">
        <f t="shared" si="320"/>
        <v>0</v>
      </c>
      <c r="AT253" s="197">
        <f t="shared" si="295"/>
        <v>5527</v>
      </c>
      <c r="AU253" s="197">
        <f t="shared" si="295"/>
        <v>0</v>
      </c>
      <c r="AV253" s="191"/>
      <c r="AW253" s="236">
        <f t="shared" si="321"/>
        <v>5527</v>
      </c>
      <c r="AX253" s="236"/>
      <c r="AY253" s="619"/>
      <c r="AZ253" s="619"/>
      <c r="BA253" s="619"/>
    </row>
    <row r="254" spans="2:53" s="69" customFormat="1" ht="31.5">
      <c r="B254" s="660"/>
      <c r="C254" s="168" t="s">
        <v>1662</v>
      </c>
      <c r="D254" s="195"/>
      <c r="E254" s="181"/>
      <c r="F254" s="181"/>
      <c r="G254" s="171">
        <f>SUM(G248:G253)</f>
        <v>33162</v>
      </c>
      <c r="H254" s="703"/>
      <c r="I254" s="171">
        <f>SUM(I248:I253)</f>
        <v>552.70000000000005</v>
      </c>
      <c r="J254" s="682"/>
      <c r="K254" s="181"/>
      <c r="L254" s="181"/>
      <c r="M254" s="682"/>
      <c r="N254" s="181"/>
      <c r="O254" s="682"/>
      <c r="P254" s="181"/>
      <c r="Q254" s="181"/>
      <c r="R254" s="171">
        <f>SUM(R248:R253)</f>
        <v>33714.699999999997</v>
      </c>
      <c r="S254" s="171">
        <f>SUM(S248:S253)</f>
        <v>6</v>
      </c>
      <c r="T254" s="171">
        <f>SUM(T248:T253)</f>
        <v>0</v>
      </c>
      <c r="U254" s="171"/>
      <c r="V254" s="693"/>
      <c r="W254" s="171"/>
      <c r="X254" s="693"/>
      <c r="Y254" s="693"/>
      <c r="Z254" s="171">
        <f>SUM(Z248:Z253)</f>
        <v>8953.74</v>
      </c>
      <c r="AA254" s="171">
        <f>SUM(AA248:AA253)</f>
        <v>5331.5599999999995</v>
      </c>
      <c r="AB254" s="171">
        <f>SUM(AB248:AB253)</f>
        <v>48000</v>
      </c>
      <c r="AC254" s="171">
        <f>SUM(AC248:AC253)</f>
        <v>33000</v>
      </c>
      <c r="AD254" s="171">
        <f>SUM(AD248:AD253)</f>
        <v>81000</v>
      </c>
      <c r="AE254" s="171">
        <f t="shared" ref="AE254:AV254" si="322">SUM(AE248:AE253)</f>
        <v>81000</v>
      </c>
      <c r="AF254" s="171">
        <f t="shared" si="322"/>
        <v>33000</v>
      </c>
      <c r="AG254" s="171">
        <f t="shared" si="322"/>
        <v>48000</v>
      </c>
      <c r="AH254" s="171">
        <f t="shared" si="322"/>
        <v>5331.5599999999995</v>
      </c>
      <c r="AI254" s="171">
        <f t="shared" si="322"/>
        <v>33162</v>
      </c>
      <c r="AJ254" s="171">
        <f t="shared" si="322"/>
        <v>0</v>
      </c>
      <c r="AK254" s="171">
        <f t="shared" si="322"/>
        <v>33714.699999999997</v>
      </c>
      <c r="AL254" s="171">
        <f t="shared" si="322"/>
        <v>0</v>
      </c>
      <c r="AM254" s="171">
        <f t="shared" si="322"/>
        <v>552.69999999999982</v>
      </c>
      <c r="AN254" s="171">
        <f t="shared" si="322"/>
        <v>0</v>
      </c>
      <c r="AO254" s="171">
        <f t="shared" si="322"/>
        <v>8953.74</v>
      </c>
      <c r="AP254" s="171">
        <f t="shared" si="322"/>
        <v>0</v>
      </c>
      <c r="AQ254" s="171">
        <f t="shared" si="322"/>
        <v>5331.5599999999995</v>
      </c>
      <c r="AR254" s="171">
        <f t="shared" si="322"/>
        <v>0</v>
      </c>
      <c r="AS254" s="171">
        <f t="shared" si="322"/>
        <v>0</v>
      </c>
      <c r="AT254" s="171">
        <f t="shared" si="322"/>
        <v>33714.699999999997</v>
      </c>
      <c r="AU254" s="171">
        <f t="shared" si="322"/>
        <v>0</v>
      </c>
      <c r="AV254" s="171">
        <f t="shared" si="322"/>
        <v>0</v>
      </c>
      <c r="AW254" s="171">
        <f>SUM(AW248:AW253)</f>
        <v>33714.699999999997</v>
      </c>
      <c r="AX254" s="171">
        <f>SUM(AX248:AX253)</f>
        <v>0</v>
      </c>
      <c r="AY254" s="619"/>
      <c r="AZ254" s="619"/>
      <c r="BA254" s="619"/>
    </row>
    <row r="255" spans="2:53" s="69" customFormat="1" ht="33">
      <c r="B255" s="660"/>
      <c r="C255" s="208" t="s">
        <v>1774</v>
      </c>
      <c r="D255" s="195"/>
      <c r="E255" s="181"/>
      <c r="F255" s="181"/>
      <c r="G255" s="171"/>
      <c r="H255" s="703"/>
      <c r="I255" s="171"/>
      <c r="J255" s="682"/>
      <c r="K255" s="181"/>
      <c r="L255" s="181"/>
      <c r="M255" s="682"/>
      <c r="N255" s="181"/>
      <c r="O255" s="682"/>
      <c r="P255" s="181"/>
      <c r="Q255" s="181"/>
      <c r="R255" s="171"/>
      <c r="S255" s="171"/>
      <c r="T255" s="171"/>
      <c r="U255" s="171"/>
      <c r="V255" s="693"/>
      <c r="W255" s="171"/>
      <c r="X255" s="693"/>
      <c r="Y255" s="693"/>
      <c r="Z255" s="171"/>
      <c r="AA255" s="171"/>
      <c r="AB255" s="171"/>
      <c r="AC255" s="196"/>
      <c r="AD255" s="196"/>
      <c r="AE255" s="196"/>
      <c r="AF255" s="196"/>
      <c r="AG255" s="196"/>
      <c r="AH255" s="196"/>
      <c r="AI255" s="191"/>
      <c r="AJ255" s="191"/>
      <c r="AK255" s="191"/>
      <c r="AL255" s="191"/>
      <c r="AM255" s="191"/>
      <c r="AN255" s="191"/>
      <c r="AO255" s="193"/>
      <c r="AP255" s="193"/>
      <c r="AQ255" s="193"/>
      <c r="AR255" s="193"/>
      <c r="AS255" s="193"/>
      <c r="AT255" s="197"/>
      <c r="AU255" s="197"/>
      <c r="AV255" s="191"/>
      <c r="AW255" s="236"/>
      <c r="AX255" s="236"/>
      <c r="AY255" s="619"/>
      <c r="AZ255" s="619"/>
      <c r="BA255" s="619"/>
    </row>
    <row r="256" spans="2:53" s="69" customFormat="1" ht="94.5">
      <c r="B256" s="660">
        <f>B253+1</f>
        <v>165</v>
      </c>
      <c r="C256" s="185" t="s">
        <v>1138</v>
      </c>
      <c r="D256" s="186"/>
      <c r="E256" s="660" t="s">
        <v>108</v>
      </c>
      <c r="F256" s="660">
        <v>3</v>
      </c>
      <c r="G256" s="187">
        <v>3770</v>
      </c>
      <c r="H256" s="687"/>
      <c r="I256" s="187"/>
      <c r="J256" s="687"/>
      <c r="K256" s="187"/>
      <c r="L256" s="187"/>
      <c r="M256" s="687"/>
      <c r="N256" s="187"/>
      <c r="O256" s="687"/>
      <c r="P256" s="187"/>
      <c r="Q256" s="187"/>
      <c r="R256" s="187">
        <f>G256+I256+K256+L256+N256+P256+Q256</f>
        <v>3770</v>
      </c>
      <c r="S256" s="187">
        <v>1</v>
      </c>
      <c r="T256" s="187"/>
      <c r="U256" s="187"/>
      <c r="V256" s="688">
        <v>0.1</v>
      </c>
      <c r="W256" s="187">
        <f>R256*V256</f>
        <v>377</v>
      </c>
      <c r="X256" s="674"/>
      <c r="Y256" s="688"/>
      <c r="Z256" s="187"/>
      <c r="AA256" s="187">
        <f>AH256</f>
        <v>4230</v>
      </c>
      <c r="AB256" s="187">
        <f>(R256+Z256+U256+W256)*S256+AA256</f>
        <v>8377</v>
      </c>
      <c r="AC256" s="689">
        <f>AF256</f>
        <v>0</v>
      </c>
      <c r="AD256" s="689">
        <f>AB256+AC256</f>
        <v>8377</v>
      </c>
      <c r="AE256" s="190">
        <f>AB256</f>
        <v>8377</v>
      </c>
      <c r="AF256" s="190">
        <f>AE256-AB256</f>
        <v>0</v>
      </c>
      <c r="AG256" s="689">
        <f>8000*S256</f>
        <v>8000</v>
      </c>
      <c r="AH256" s="190">
        <f>AG256-(R256*S256)</f>
        <v>4230</v>
      </c>
      <c r="AI256" s="191">
        <f>G256*S256</f>
        <v>3770</v>
      </c>
      <c r="AJ256" s="191">
        <f>G256*T256</f>
        <v>0</v>
      </c>
      <c r="AK256" s="191">
        <f>R256*S256</f>
        <v>3770</v>
      </c>
      <c r="AL256" s="191">
        <f>R256*T256</f>
        <v>0</v>
      </c>
      <c r="AM256" s="191">
        <f>AK256-AI256</f>
        <v>0</v>
      </c>
      <c r="AN256" s="191">
        <f>AL256-AJ256</f>
        <v>0</v>
      </c>
      <c r="AO256" s="193">
        <f>Z256*S256</f>
        <v>0</v>
      </c>
      <c r="AP256" s="193">
        <f>Z256*T256</f>
        <v>0</v>
      </c>
      <c r="AQ256" s="193">
        <f>AA256</f>
        <v>4230</v>
      </c>
      <c r="AR256" s="193">
        <f>W256*S256</f>
        <v>377</v>
      </c>
      <c r="AS256" s="193">
        <f>W256*T256</f>
        <v>0</v>
      </c>
      <c r="AT256" s="197">
        <f t="shared" si="295"/>
        <v>3770</v>
      </c>
      <c r="AU256" s="197">
        <f t="shared" si="295"/>
        <v>0</v>
      </c>
      <c r="AV256" s="191"/>
      <c r="AW256" s="236">
        <f>R256*S256</f>
        <v>3770</v>
      </c>
      <c r="AX256" s="236"/>
      <c r="AY256" s="619"/>
      <c r="AZ256" s="619"/>
      <c r="BA256" s="619"/>
    </row>
    <row r="257" spans="2:54" s="69" customFormat="1" ht="94.5">
      <c r="B257" s="660">
        <f>1+B256</f>
        <v>166</v>
      </c>
      <c r="C257" s="185" t="s">
        <v>1138</v>
      </c>
      <c r="D257" s="186"/>
      <c r="E257" s="660" t="s">
        <v>1154</v>
      </c>
      <c r="F257" s="660">
        <v>3</v>
      </c>
      <c r="G257" s="187">
        <v>3770</v>
      </c>
      <c r="H257" s="687"/>
      <c r="I257" s="187"/>
      <c r="J257" s="687"/>
      <c r="K257" s="187"/>
      <c r="L257" s="187"/>
      <c r="M257" s="687"/>
      <c r="N257" s="187"/>
      <c r="O257" s="687"/>
      <c r="P257" s="187"/>
      <c r="Q257" s="187"/>
      <c r="R257" s="187">
        <f>G257+I257+K257+L257+N257+P257+Q257</f>
        <v>3770</v>
      </c>
      <c r="S257" s="187">
        <v>1</v>
      </c>
      <c r="T257" s="187"/>
      <c r="U257" s="187"/>
      <c r="V257" s="688">
        <v>0.1</v>
      </c>
      <c r="W257" s="187">
        <f>R257*V257</f>
        <v>377</v>
      </c>
      <c r="X257" s="674"/>
      <c r="Y257" s="688"/>
      <c r="Z257" s="187"/>
      <c r="AA257" s="187">
        <f>AH257</f>
        <v>4230</v>
      </c>
      <c r="AB257" s="187">
        <f>(R257+Z257+U257+W257)*S257+AA257</f>
        <v>8377</v>
      </c>
      <c r="AC257" s="689">
        <f>AF257</f>
        <v>0</v>
      </c>
      <c r="AD257" s="689">
        <f>AB257+AC257</f>
        <v>8377</v>
      </c>
      <c r="AE257" s="190">
        <f>AB257</f>
        <v>8377</v>
      </c>
      <c r="AF257" s="190">
        <f>AE257-AB257</f>
        <v>0</v>
      </c>
      <c r="AG257" s="689">
        <f>8000*S257</f>
        <v>8000</v>
      </c>
      <c r="AH257" s="190">
        <f>AG257-(R257*S257)</f>
        <v>4230</v>
      </c>
      <c r="AI257" s="191">
        <f>G257*S257</f>
        <v>3770</v>
      </c>
      <c r="AJ257" s="191">
        <f>G257*T257</f>
        <v>0</v>
      </c>
      <c r="AK257" s="191">
        <f>R257*S257</f>
        <v>3770</v>
      </c>
      <c r="AL257" s="191">
        <f>R257*T257</f>
        <v>0</v>
      </c>
      <c r="AM257" s="191">
        <f>AK257-AI257</f>
        <v>0</v>
      </c>
      <c r="AN257" s="191">
        <f>AL257-AJ257</f>
        <v>0</v>
      </c>
      <c r="AO257" s="193">
        <f>Z257*S257</f>
        <v>0</v>
      </c>
      <c r="AP257" s="193">
        <f>Z257*T257</f>
        <v>0</v>
      </c>
      <c r="AQ257" s="193">
        <f>AA257</f>
        <v>4230</v>
      </c>
      <c r="AR257" s="193">
        <f>W257*S257</f>
        <v>377</v>
      </c>
      <c r="AS257" s="193">
        <f>W257*T257</f>
        <v>0</v>
      </c>
      <c r="AT257" s="197">
        <f t="shared" si="295"/>
        <v>3770</v>
      </c>
      <c r="AU257" s="197">
        <f t="shared" si="295"/>
        <v>0</v>
      </c>
      <c r="AV257" s="191"/>
      <c r="AW257" s="236">
        <f>R257*S257</f>
        <v>3770</v>
      </c>
      <c r="AX257" s="236"/>
      <c r="AY257" s="619"/>
      <c r="AZ257" s="619"/>
      <c r="BA257" s="619"/>
    </row>
    <row r="258" spans="2:54" s="69" customFormat="1" ht="31.5">
      <c r="B258" s="660"/>
      <c r="C258" s="168" t="s">
        <v>1662</v>
      </c>
      <c r="D258" s="195"/>
      <c r="E258" s="181"/>
      <c r="F258" s="181"/>
      <c r="G258" s="171">
        <f>SUM(G256:G257)</f>
        <v>7540</v>
      </c>
      <c r="H258" s="682"/>
      <c r="I258" s="181"/>
      <c r="J258" s="682"/>
      <c r="K258" s="181"/>
      <c r="L258" s="181"/>
      <c r="M258" s="682"/>
      <c r="N258" s="181"/>
      <c r="O258" s="682"/>
      <c r="P258" s="181"/>
      <c r="Q258" s="181"/>
      <c r="R258" s="171">
        <f>SUM(R256:R257)</f>
        <v>7540</v>
      </c>
      <c r="S258" s="171">
        <f>SUM(S256:S257)</f>
        <v>2</v>
      </c>
      <c r="T258" s="171">
        <f>SUM(T256:T257)</f>
        <v>0</v>
      </c>
      <c r="U258" s="172"/>
      <c r="V258" s="693"/>
      <c r="W258" s="171">
        <f>SUM(W256:W257)</f>
        <v>754</v>
      </c>
      <c r="X258" s="693"/>
      <c r="Y258" s="693"/>
      <c r="Z258" s="171"/>
      <c r="AA258" s="171">
        <f>SUM(AA256:AA257)</f>
        <v>8460</v>
      </c>
      <c r="AB258" s="171">
        <f>SUM(AB256:AB257)</f>
        <v>16754</v>
      </c>
      <c r="AC258" s="171">
        <f>SUM(AC256:AC257)</f>
        <v>0</v>
      </c>
      <c r="AD258" s="171">
        <f>SUM(AD256:AD257)</f>
        <v>16754</v>
      </c>
      <c r="AE258" s="171">
        <f t="shared" ref="AE258:AV258" si="323">SUM(AE256:AE257)</f>
        <v>16754</v>
      </c>
      <c r="AF258" s="171">
        <f t="shared" si="323"/>
        <v>0</v>
      </c>
      <c r="AG258" s="171">
        <f t="shared" si="323"/>
        <v>16000</v>
      </c>
      <c r="AH258" s="171">
        <f t="shared" si="323"/>
        <v>8460</v>
      </c>
      <c r="AI258" s="171">
        <f t="shared" si="323"/>
        <v>7540</v>
      </c>
      <c r="AJ258" s="171">
        <f t="shared" si="323"/>
        <v>0</v>
      </c>
      <c r="AK258" s="171">
        <f t="shared" si="323"/>
        <v>7540</v>
      </c>
      <c r="AL258" s="171">
        <f t="shared" si="323"/>
        <v>0</v>
      </c>
      <c r="AM258" s="171">
        <f t="shared" si="323"/>
        <v>0</v>
      </c>
      <c r="AN258" s="171">
        <f t="shared" si="323"/>
        <v>0</v>
      </c>
      <c r="AO258" s="171">
        <f t="shared" si="323"/>
        <v>0</v>
      </c>
      <c r="AP258" s="171">
        <f t="shared" si="323"/>
        <v>0</v>
      </c>
      <c r="AQ258" s="171">
        <f t="shared" si="323"/>
        <v>8460</v>
      </c>
      <c r="AR258" s="171">
        <f t="shared" si="323"/>
        <v>754</v>
      </c>
      <c r="AS258" s="171">
        <f t="shared" si="323"/>
        <v>0</v>
      </c>
      <c r="AT258" s="171">
        <f t="shared" si="323"/>
        <v>7540</v>
      </c>
      <c r="AU258" s="171">
        <f t="shared" si="323"/>
        <v>0</v>
      </c>
      <c r="AV258" s="171">
        <f t="shared" si="323"/>
        <v>0</v>
      </c>
      <c r="AW258" s="171">
        <f>SUM(AW256:AW257)</f>
        <v>7540</v>
      </c>
      <c r="AX258" s="171">
        <f>SUM(AX256:AX257)</f>
        <v>0</v>
      </c>
      <c r="AY258" s="619"/>
      <c r="AZ258" s="619"/>
      <c r="BA258" s="619"/>
    </row>
    <row r="259" spans="2:54" s="69" customFormat="1" ht="31.5">
      <c r="B259" s="660"/>
      <c r="C259" s="168" t="s">
        <v>1223</v>
      </c>
      <c r="D259" s="195"/>
      <c r="E259" s="181"/>
      <c r="F259" s="181"/>
      <c r="G259" s="173">
        <f>G246+G254+G258</f>
        <v>55208</v>
      </c>
      <c r="H259" s="704"/>
      <c r="I259" s="173">
        <f>I246+I254+I258</f>
        <v>552.70000000000005</v>
      </c>
      <c r="J259" s="704"/>
      <c r="K259" s="173"/>
      <c r="L259" s="173"/>
      <c r="M259" s="704"/>
      <c r="N259" s="173"/>
      <c r="O259" s="704"/>
      <c r="P259" s="173"/>
      <c r="Q259" s="173"/>
      <c r="R259" s="173">
        <f>R246+R254+R258</f>
        <v>55760.7</v>
      </c>
      <c r="S259" s="171">
        <f>S246+S254+S258</f>
        <v>8.5</v>
      </c>
      <c r="T259" s="171">
        <f>T246+T254+T258</f>
        <v>0.5</v>
      </c>
      <c r="U259" s="173"/>
      <c r="V259" s="704"/>
      <c r="W259" s="173">
        <f>W246+W254+W258</f>
        <v>754</v>
      </c>
      <c r="X259" s="704"/>
      <c r="Y259" s="704"/>
      <c r="Z259" s="173">
        <f>Z246+Z254+Z258</f>
        <v>10404.34</v>
      </c>
      <c r="AA259" s="173">
        <f>AA246+AA254+AA258</f>
        <v>14165.06</v>
      </c>
      <c r="AB259" s="173">
        <f>AB246+AB254+AB258</f>
        <v>73105.8</v>
      </c>
      <c r="AC259" s="173">
        <f>AC246+AC254+AC258</f>
        <v>44648.2</v>
      </c>
      <c r="AD259" s="173">
        <f>AD246+AD254+AD258</f>
        <v>117754</v>
      </c>
      <c r="AE259" s="173">
        <f t="shared" ref="AE259:AV259" si="324">AE246+AE254+AE258</f>
        <v>117754</v>
      </c>
      <c r="AF259" s="173">
        <f t="shared" si="324"/>
        <v>44648.2</v>
      </c>
      <c r="AG259" s="173">
        <f>AG246+AG254+AG258</f>
        <v>72000</v>
      </c>
      <c r="AH259" s="173">
        <f t="shared" si="324"/>
        <v>13813.259999999998</v>
      </c>
      <c r="AI259" s="173">
        <f t="shared" si="324"/>
        <v>40702</v>
      </c>
      <c r="AJ259" s="173">
        <f t="shared" si="324"/>
        <v>3626.5</v>
      </c>
      <c r="AK259" s="173">
        <f t="shared" si="324"/>
        <v>41254.699999999997</v>
      </c>
      <c r="AL259" s="173">
        <f t="shared" si="324"/>
        <v>3626.5</v>
      </c>
      <c r="AM259" s="173">
        <f t="shared" si="324"/>
        <v>552.69999999999982</v>
      </c>
      <c r="AN259" s="173">
        <f t="shared" si="324"/>
        <v>0</v>
      </c>
      <c r="AO259" s="173">
        <f t="shared" si="324"/>
        <v>8953.74</v>
      </c>
      <c r="AP259" s="173">
        <f t="shared" si="324"/>
        <v>725.30000000000007</v>
      </c>
      <c r="AQ259" s="173">
        <f t="shared" si="324"/>
        <v>13791.56</v>
      </c>
      <c r="AR259" s="173">
        <f t="shared" si="324"/>
        <v>754</v>
      </c>
      <c r="AS259" s="173">
        <f t="shared" si="324"/>
        <v>0</v>
      </c>
      <c r="AT259" s="173">
        <f t="shared" si="324"/>
        <v>41254.699999999997</v>
      </c>
      <c r="AU259" s="173">
        <f t="shared" si="324"/>
        <v>3626.5</v>
      </c>
      <c r="AV259" s="173">
        <f t="shared" si="324"/>
        <v>0</v>
      </c>
      <c r="AW259" s="173">
        <f>AW246+AW254+AW258</f>
        <v>48507.7</v>
      </c>
      <c r="AX259" s="173">
        <f>AX246+AX254+AX258</f>
        <v>0</v>
      </c>
      <c r="AY259" s="619"/>
      <c r="AZ259" s="619"/>
      <c r="BA259" s="619"/>
    </row>
    <row r="260" spans="2:54" s="69" customFormat="1" ht="61.5">
      <c r="B260" s="660"/>
      <c r="C260" s="179" t="s">
        <v>1781</v>
      </c>
      <c r="D260" s="180"/>
      <c r="E260" s="181"/>
      <c r="F260" s="181"/>
      <c r="G260" s="181"/>
      <c r="H260" s="682"/>
      <c r="I260" s="181"/>
      <c r="J260" s="682"/>
      <c r="K260" s="181"/>
      <c r="L260" s="181"/>
      <c r="M260" s="682"/>
      <c r="N260" s="181"/>
      <c r="O260" s="682"/>
      <c r="P260" s="181"/>
      <c r="Q260" s="181"/>
      <c r="R260" s="181"/>
      <c r="S260" s="181"/>
      <c r="T260" s="181"/>
      <c r="U260" s="181"/>
      <c r="V260" s="683"/>
      <c r="W260" s="181"/>
      <c r="X260" s="683"/>
      <c r="Y260" s="683"/>
      <c r="Z260" s="181"/>
      <c r="AA260" s="181"/>
      <c r="AB260" s="181"/>
      <c r="AC260" s="183"/>
      <c r="AD260" s="183"/>
      <c r="AE260" s="183"/>
      <c r="AF260" s="183"/>
      <c r="AG260" s="183"/>
      <c r="AH260" s="183"/>
      <c r="AI260" s="191"/>
      <c r="AJ260" s="191"/>
      <c r="AK260" s="191"/>
      <c r="AL260" s="191"/>
      <c r="AM260" s="191"/>
      <c r="AN260" s="191"/>
      <c r="AO260" s="193"/>
      <c r="AP260" s="193"/>
      <c r="AQ260" s="193"/>
      <c r="AR260" s="193"/>
      <c r="AS260" s="193"/>
      <c r="AT260" s="197"/>
      <c r="AU260" s="197"/>
      <c r="AV260" s="191"/>
      <c r="AW260" s="236"/>
      <c r="AX260" s="236"/>
      <c r="AY260" s="619"/>
      <c r="AZ260" s="619"/>
      <c r="BA260" s="619"/>
    </row>
    <row r="261" spans="2:54" s="69" customFormat="1" ht="33">
      <c r="B261" s="660"/>
      <c r="C261" s="208" t="s">
        <v>1309</v>
      </c>
      <c r="D261" s="205"/>
      <c r="E261" s="206"/>
      <c r="F261" s="206"/>
      <c r="G261" s="206"/>
      <c r="H261" s="696"/>
      <c r="I261" s="206"/>
      <c r="J261" s="696"/>
      <c r="K261" s="206"/>
      <c r="L261" s="206"/>
      <c r="M261" s="696"/>
      <c r="N261" s="206"/>
      <c r="O261" s="696"/>
      <c r="P261" s="206"/>
      <c r="Q261" s="206"/>
      <c r="R261" s="206"/>
      <c r="S261" s="206"/>
      <c r="T261" s="206"/>
      <c r="U261" s="206"/>
      <c r="V261" s="697"/>
      <c r="W261" s="206"/>
      <c r="X261" s="697"/>
      <c r="Y261" s="697"/>
      <c r="Z261" s="206"/>
      <c r="AA261" s="206"/>
      <c r="AB261" s="206"/>
      <c r="AC261" s="207"/>
      <c r="AD261" s="207"/>
      <c r="AE261" s="207"/>
      <c r="AF261" s="207"/>
      <c r="AG261" s="207"/>
      <c r="AH261" s="207"/>
      <c r="AI261" s="191"/>
      <c r="AJ261" s="191"/>
      <c r="AK261" s="191"/>
      <c r="AL261" s="191"/>
      <c r="AM261" s="191"/>
      <c r="AN261" s="191"/>
      <c r="AO261" s="193"/>
      <c r="AP261" s="193"/>
      <c r="AQ261" s="193"/>
      <c r="AR261" s="193"/>
      <c r="AS261" s="193"/>
      <c r="AT261" s="197"/>
      <c r="AU261" s="197"/>
      <c r="AV261" s="191"/>
      <c r="AW261" s="236"/>
      <c r="AX261" s="236"/>
      <c r="AY261" s="619"/>
      <c r="AZ261" s="619"/>
      <c r="BA261" s="619"/>
    </row>
    <row r="262" spans="2:54" s="69" customFormat="1" ht="63">
      <c r="B262" s="660">
        <f>B257+1</f>
        <v>167</v>
      </c>
      <c r="C262" s="185" t="s">
        <v>277</v>
      </c>
      <c r="D262" s="186" t="s">
        <v>109</v>
      </c>
      <c r="E262" s="660" t="s">
        <v>1031</v>
      </c>
      <c r="F262" s="660">
        <v>11</v>
      </c>
      <c r="G262" s="187">
        <v>6294</v>
      </c>
      <c r="H262" s="688">
        <v>0.25</v>
      </c>
      <c r="I262" s="187">
        <f>G262*H262</f>
        <v>1573.5</v>
      </c>
      <c r="J262" s="688">
        <v>0.3</v>
      </c>
      <c r="K262" s="187">
        <f>(G262+I262)*J262</f>
        <v>2360.25</v>
      </c>
      <c r="L262" s="660"/>
      <c r="M262" s="674"/>
      <c r="N262" s="660"/>
      <c r="O262" s="674"/>
      <c r="P262" s="660"/>
      <c r="Q262" s="660"/>
      <c r="R262" s="187">
        <f t="shared" ref="R262:R274" si="325">G262+I262+K262+L262+N262+P262+Q262</f>
        <v>10227.75</v>
      </c>
      <c r="S262" s="187">
        <v>1</v>
      </c>
      <c r="T262" s="187"/>
      <c r="U262" s="660"/>
      <c r="V262" s="674"/>
      <c r="W262" s="660"/>
      <c r="X262" s="674">
        <v>3</v>
      </c>
      <c r="Y262" s="688">
        <v>0.1</v>
      </c>
      <c r="Z262" s="187">
        <f>R262*Y262</f>
        <v>1022.7750000000001</v>
      </c>
      <c r="AA262" s="187"/>
      <c r="AB262" s="187">
        <f>(R262+Z262)*S262+AA262</f>
        <v>11250.525</v>
      </c>
      <c r="AC262" s="689">
        <f t="shared" ref="AC262:AC272" si="326">AF262</f>
        <v>8749.4750000000004</v>
      </c>
      <c r="AD262" s="689">
        <f t="shared" ref="AD262:AD272" si="327">AB262+AC262</f>
        <v>20000</v>
      </c>
      <c r="AE262" s="190">
        <f t="shared" ref="AE262:AE267" si="328">20000*S262</f>
        <v>20000</v>
      </c>
      <c r="AF262" s="190">
        <f t="shared" ref="AF262:AF272" si="329">AE262-AB262</f>
        <v>8749.4750000000004</v>
      </c>
      <c r="AG262" s="689">
        <f>8000*S262</f>
        <v>8000</v>
      </c>
      <c r="AH262" s="190">
        <f>AG262-(R262+Z262)*S262</f>
        <v>-3250.5249999999996</v>
      </c>
      <c r="AI262" s="191">
        <f t="shared" ref="AI262:AI272" si="330">G262*S262</f>
        <v>6294</v>
      </c>
      <c r="AJ262" s="191">
        <f t="shared" ref="AJ262:AJ272" si="331">G262*T262</f>
        <v>0</v>
      </c>
      <c r="AK262" s="191">
        <f t="shared" ref="AK262:AK274" si="332">R262*S262</f>
        <v>10227.75</v>
      </c>
      <c r="AL262" s="191">
        <f t="shared" ref="AL262:AL274" si="333">R262*T262</f>
        <v>0</v>
      </c>
      <c r="AM262" s="191">
        <f t="shared" ref="AM262:AM274" si="334">AK262-AI262</f>
        <v>3933.75</v>
      </c>
      <c r="AN262" s="191">
        <f t="shared" ref="AN262:AN274" si="335">AL262-AJ262</f>
        <v>0</v>
      </c>
      <c r="AO262" s="193">
        <f t="shared" ref="AO262:AO274" si="336">Z262*S262</f>
        <v>1022.7750000000001</v>
      </c>
      <c r="AP262" s="193">
        <f t="shared" ref="AP262:AP274" si="337">Z262*T262</f>
        <v>0</v>
      </c>
      <c r="AQ262" s="193">
        <f t="shared" ref="AQ262:AQ274" si="338">AA262</f>
        <v>0</v>
      </c>
      <c r="AR262" s="193">
        <f t="shared" ref="AR262:AR274" si="339">W262*S262</f>
        <v>0</v>
      </c>
      <c r="AS262" s="193">
        <f t="shared" ref="AS262:AS274" si="340">W262*T262</f>
        <v>0</v>
      </c>
      <c r="AT262" s="197">
        <f t="shared" si="295"/>
        <v>10227.75</v>
      </c>
      <c r="AU262" s="197">
        <f t="shared" si="295"/>
        <v>0</v>
      </c>
      <c r="AV262" s="191"/>
      <c r="AW262" s="236">
        <f>R262*S262</f>
        <v>10227.75</v>
      </c>
      <c r="AX262" s="236"/>
      <c r="AY262" s="619"/>
      <c r="AZ262" s="619"/>
      <c r="BA262" s="619"/>
    </row>
    <row r="263" spans="2:54" s="69" customFormat="1" ht="58.5">
      <c r="B263" s="660">
        <f>1+B262</f>
        <v>168</v>
      </c>
      <c r="C263" s="185" t="s">
        <v>1014</v>
      </c>
      <c r="D263" s="186" t="s">
        <v>278</v>
      </c>
      <c r="E263" s="660" t="s">
        <v>1606</v>
      </c>
      <c r="F263" s="660">
        <v>13</v>
      </c>
      <c r="G263" s="187">
        <v>7253</v>
      </c>
      <c r="H263" s="674"/>
      <c r="I263" s="660"/>
      <c r="J263" s="688"/>
      <c r="K263" s="187"/>
      <c r="L263" s="660"/>
      <c r="M263" s="674"/>
      <c r="N263" s="660"/>
      <c r="O263" s="674"/>
      <c r="P263" s="660"/>
      <c r="Q263" s="660"/>
      <c r="R263" s="187">
        <f t="shared" si="325"/>
        <v>7253</v>
      </c>
      <c r="S263" s="187"/>
      <c r="T263" s="187">
        <v>0.5</v>
      </c>
      <c r="U263" s="660"/>
      <c r="V263" s="674"/>
      <c r="W263" s="660"/>
      <c r="X263" s="674">
        <v>35</v>
      </c>
      <c r="Y263" s="688">
        <v>0.3</v>
      </c>
      <c r="Z263" s="187">
        <f>R263*Y263</f>
        <v>2175.9</v>
      </c>
      <c r="AA263" s="187"/>
      <c r="AB263" s="187">
        <f>(R263+Z263)*T263+AA263</f>
        <v>4714.45</v>
      </c>
      <c r="AC263" s="689">
        <f>AF263</f>
        <v>5285.55</v>
      </c>
      <c r="AD263" s="689">
        <f>AB263+AC263</f>
        <v>10000</v>
      </c>
      <c r="AE263" s="190">
        <f>20000*T263</f>
        <v>10000</v>
      </c>
      <c r="AF263" s="190">
        <f>AE263-AB263</f>
        <v>5285.55</v>
      </c>
      <c r="AG263" s="689">
        <f>8000*T263</f>
        <v>4000</v>
      </c>
      <c r="AH263" s="190">
        <f>AG263-(R263+Z263)*T263</f>
        <v>-714.44999999999982</v>
      </c>
      <c r="AI263" s="191">
        <f>G263*S263</f>
        <v>0</v>
      </c>
      <c r="AJ263" s="191">
        <f>G263*T263</f>
        <v>3626.5</v>
      </c>
      <c r="AK263" s="191">
        <f t="shared" si="332"/>
        <v>0</v>
      </c>
      <c r="AL263" s="191">
        <f t="shared" si="333"/>
        <v>3626.5</v>
      </c>
      <c r="AM263" s="191">
        <f t="shared" si="334"/>
        <v>0</v>
      </c>
      <c r="AN263" s="191">
        <f t="shared" si="335"/>
        <v>0</v>
      </c>
      <c r="AO263" s="193">
        <f t="shared" si="336"/>
        <v>0</v>
      </c>
      <c r="AP263" s="193">
        <f t="shared" si="337"/>
        <v>1087.95</v>
      </c>
      <c r="AQ263" s="193">
        <f t="shared" si="338"/>
        <v>0</v>
      </c>
      <c r="AR263" s="193">
        <f t="shared" si="339"/>
        <v>0</v>
      </c>
      <c r="AS263" s="193">
        <f t="shared" si="340"/>
        <v>0</v>
      </c>
      <c r="AT263" s="197">
        <f t="shared" si="295"/>
        <v>0</v>
      </c>
      <c r="AU263" s="197">
        <f t="shared" si="295"/>
        <v>3626.5</v>
      </c>
      <c r="AV263" s="191"/>
      <c r="AW263" s="236">
        <f>R263*T263</f>
        <v>3626.5</v>
      </c>
      <c r="AX263" s="236"/>
      <c r="AY263" s="619"/>
      <c r="AZ263" s="619"/>
      <c r="BA263" s="619"/>
    </row>
    <row r="264" spans="2:54" s="71" customFormat="1" ht="58.5">
      <c r="B264" s="660">
        <f>1+B263</f>
        <v>169</v>
      </c>
      <c r="C264" s="185" t="s">
        <v>1014</v>
      </c>
      <c r="D264" s="186" t="s">
        <v>1695</v>
      </c>
      <c r="E264" s="660" t="s">
        <v>1015</v>
      </c>
      <c r="F264" s="660">
        <v>13</v>
      </c>
      <c r="G264" s="187">
        <v>7253</v>
      </c>
      <c r="H264" s="674"/>
      <c r="I264" s="660"/>
      <c r="J264" s="688"/>
      <c r="K264" s="187"/>
      <c r="L264" s="660"/>
      <c r="M264" s="674"/>
      <c r="N264" s="660"/>
      <c r="O264" s="674"/>
      <c r="P264" s="187"/>
      <c r="Q264" s="187"/>
      <c r="R264" s="187">
        <f t="shared" si="325"/>
        <v>7253</v>
      </c>
      <c r="S264" s="187">
        <v>1</v>
      </c>
      <c r="T264" s="187"/>
      <c r="U264" s="187"/>
      <c r="V264" s="687"/>
      <c r="W264" s="187"/>
      <c r="X264" s="674">
        <v>27</v>
      </c>
      <c r="Y264" s="688">
        <v>0.3</v>
      </c>
      <c r="Z264" s="187">
        <f t="shared" ref="Z264:Z274" si="341">R264*Y264</f>
        <v>2175.9</v>
      </c>
      <c r="AA264" s="187"/>
      <c r="AB264" s="187">
        <f t="shared" ref="AB264:AB269" si="342">(R264+Z264)*S264+AA264</f>
        <v>9428.9</v>
      </c>
      <c r="AC264" s="689">
        <f t="shared" si="326"/>
        <v>10571.1</v>
      </c>
      <c r="AD264" s="689">
        <f t="shared" si="327"/>
        <v>20000</v>
      </c>
      <c r="AE264" s="190">
        <f t="shared" si="328"/>
        <v>20000</v>
      </c>
      <c r="AF264" s="190">
        <f t="shared" si="329"/>
        <v>10571.1</v>
      </c>
      <c r="AG264" s="689">
        <f>8000*S264</f>
        <v>8000</v>
      </c>
      <c r="AH264" s="190">
        <f t="shared" ref="AH264:AH269" si="343">AG264-(R264+Z264)*S264</f>
        <v>-1428.8999999999996</v>
      </c>
      <c r="AI264" s="191">
        <f t="shared" si="330"/>
        <v>7253</v>
      </c>
      <c r="AJ264" s="191">
        <f t="shared" si="331"/>
        <v>0</v>
      </c>
      <c r="AK264" s="191">
        <f t="shared" si="332"/>
        <v>7253</v>
      </c>
      <c r="AL264" s="191">
        <f t="shared" si="333"/>
        <v>0</v>
      </c>
      <c r="AM264" s="191">
        <f t="shared" si="334"/>
        <v>0</v>
      </c>
      <c r="AN264" s="191">
        <f t="shared" si="335"/>
        <v>0</v>
      </c>
      <c r="AO264" s="193">
        <f t="shared" si="336"/>
        <v>2175.9</v>
      </c>
      <c r="AP264" s="193">
        <f t="shared" si="337"/>
        <v>0</v>
      </c>
      <c r="AQ264" s="193">
        <f t="shared" si="338"/>
        <v>0</v>
      </c>
      <c r="AR264" s="193">
        <f t="shared" si="339"/>
        <v>0</v>
      </c>
      <c r="AS264" s="193">
        <f t="shared" si="340"/>
        <v>0</v>
      </c>
      <c r="AT264" s="197">
        <f t="shared" si="295"/>
        <v>7253</v>
      </c>
      <c r="AU264" s="197">
        <f t="shared" si="295"/>
        <v>0</v>
      </c>
      <c r="AV264" s="191"/>
      <c r="AW264" s="236">
        <f t="shared" ref="AW264:AW269" si="344">R264*S264</f>
        <v>7253</v>
      </c>
      <c r="AX264" s="236"/>
      <c r="AY264" s="619"/>
      <c r="AZ264" s="619"/>
      <c r="BA264" s="619"/>
      <c r="BB264" s="69"/>
    </row>
    <row r="265" spans="2:54" s="71" customFormat="1" ht="33">
      <c r="B265" s="660">
        <f>B264+1</f>
        <v>170</v>
      </c>
      <c r="C265" s="185" t="s">
        <v>1014</v>
      </c>
      <c r="D265" s="186"/>
      <c r="E265" s="660" t="s">
        <v>1667</v>
      </c>
      <c r="F265" s="660">
        <v>11</v>
      </c>
      <c r="G265" s="187">
        <v>6294</v>
      </c>
      <c r="H265" s="674"/>
      <c r="I265" s="660"/>
      <c r="J265" s="688"/>
      <c r="K265" s="187"/>
      <c r="L265" s="660"/>
      <c r="M265" s="674"/>
      <c r="N265" s="660"/>
      <c r="O265" s="674"/>
      <c r="P265" s="187"/>
      <c r="Q265" s="187"/>
      <c r="R265" s="187">
        <f t="shared" si="325"/>
        <v>6294</v>
      </c>
      <c r="S265" s="187">
        <v>1.25</v>
      </c>
      <c r="T265" s="187"/>
      <c r="U265" s="187"/>
      <c r="V265" s="687"/>
      <c r="W265" s="187"/>
      <c r="X265" s="674"/>
      <c r="Y265" s="688"/>
      <c r="Z265" s="187">
        <f>R265*Y265</f>
        <v>0</v>
      </c>
      <c r="AA265" s="187">
        <f>AH265</f>
        <v>2132.5</v>
      </c>
      <c r="AB265" s="187">
        <f t="shared" si="342"/>
        <v>10000</v>
      </c>
      <c r="AC265" s="689">
        <f t="shared" si="326"/>
        <v>15000</v>
      </c>
      <c r="AD265" s="689">
        <f t="shared" si="327"/>
        <v>25000</v>
      </c>
      <c r="AE265" s="190">
        <f t="shared" si="328"/>
        <v>25000</v>
      </c>
      <c r="AF265" s="190">
        <f t="shared" si="329"/>
        <v>15000</v>
      </c>
      <c r="AG265" s="689">
        <f>8000*S265</f>
        <v>10000</v>
      </c>
      <c r="AH265" s="190">
        <f t="shared" si="343"/>
        <v>2132.5</v>
      </c>
      <c r="AI265" s="191">
        <f t="shared" si="330"/>
        <v>7867.5</v>
      </c>
      <c r="AJ265" s="191">
        <f t="shared" si="331"/>
        <v>0</v>
      </c>
      <c r="AK265" s="191">
        <f t="shared" si="332"/>
        <v>7867.5</v>
      </c>
      <c r="AL265" s="191">
        <f t="shared" si="333"/>
        <v>0</v>
      </c>
      <c r="AM265" s="191">
        <f t="shared" si="334"/>
        <v>0</v>
      </c>
      <c r="AN265" s="191">
        <f t="shared" si="335"/>
        <v>0</v>
      </c>
      <c r="AO265" s="193">
        <f t="shared" si="336"/>
        <v>0</v>
      </c>
      <c r="AP265" s="193">
        <f t="shared" si="337"/>
        <v>0</v>
      </c>
      <c r="AQ265" s="193">
        <f t="shared" si="338"/>
        <v>2132.5</v>
      </c>
      <c r="AR265" s="193">
        <f t="shared" si="339"/>
        <v>0</v>
      </c>
      <c r="AS265" s="193">
        <f t="shared" si="340"/>
        <v>0</v>
      </c>
      <c r="AT265" s="197">
        <f t="shared" si="295"/>
        <v>7867.5</v>
      </c>
      <c r="AU265" s="197">
        <f t="shared" si="295"/>
        <v>0</v>
      </c>
      <c r="AV265" s="191"/>
      <c r="AW265" s="236">
        <f t="shared" si="344"/>
        <v>7867.5</v>
      </c>
      <c r="AX265" s="236"/>
      <c r="AY265" s="619"/>
      <c r="AZ265" s="619"/>
      <c r="BA265" s="619"/>
    </row>
    <row r="266" spans="2:54" s="69" customFormat="1" ht="58.5">
      <c r="B266" s="660">
        <f>B264+1</f>
        <v>170</v>
      </c>
      <c r="C266" s="185" t="s">
        <v>1014</v>
      </c>
      <c r="D266" s="186" t="s">
        <v>279</v>
      </c>
      <c r="E266" s="660" t="s">
        <v>1016</v>
      </c>
      <c r="F266" s="660">
        <v>13</v>
      </c>
      <c r="G266" s="187">
        <v>7253</v>
      </c>
      <c r="H266" s="674"/>
      <c r="I266" s="660"/>
      <c r="J266" s="688">
        <v>0.2</v>
      </c>
      <c r="K266" s="187">
        <f>(G266+I266)*J266</f>
        <v>1450.6000000000001</v>
      </c>
      <c r="L266" s="660"/>
      <c r="M266" s="674"/>
      <c r="N266" s="660"/>
      <c r="O266" s="674"/>
      <c r="P266" s="187"/>
      <c r="Q266" s="187"/>
      <c r="R266" s="187">
        <f t="shared" si="325"/>
        <v>8703.6</v>
      </c>
      <c r="S266" s="187">
        <v>1</v>
      </c>
      <c r="T266" s="187"/>
      <c r="U266" s="187"/>
      <c r="V266" s="687"/>
      <c r="W266" s="187"/>
      <c r="X266" s="674">
        <v>15</v>
      </c>
      <c r="Y266" s="688">
        <v>0.2</v>
      </c>
      <c r="Z266" s="187">
        <f t="shared" si="341"/>
        <v>1740.7200000000003</v>
      </c>
      <c r="AA266" s="187"/>
      <c r="AB266" s="187">
        <f t="shared" si="342"/>
        <v>10444.32</v>
      </c>
      <c r="AC266" s="689">
        <f t="shared" si="326"/>
        <v>9555.68</v>
      </c>
      <c r="AD266" s="689">
        <f t="shared" si="327"/>
        <v>20000</v>
      </c>
      <c r="AE266" s="190">
        <f t="shared" si="328"/>
        <v>20000</v>
      </c>
      <c r="AF266" s="190">
        <f t="shared" si="329"/>
        <v>9555.68</v>
      </c>
      <c r="AG266" s="689">
        <f>8000*S266</f>
        <v>8000</v>
      </c>
      <c r="AH266" s="190">
        <f t="shared" si="343"/>
        <v>-2444.3199999999997</v>
      </c>
      <c r="AI266" s="191">
        <f t="shared" si="330"/>
        <v>7253</v>
      </c>
      <c r="AJ266" s="191">
        <f t="shared" si="331"/>
        <v>0</v>
      </c>
      <c r="AK266" s="191">
        <f t="shared" si="332"/>
        <v>8703.6</v>
      </c>
      <c r="AL266" s="191">
        <f t="shared" si="333"/>
        <v>0</v>
      </c>
      <c r="AM266" s="191">
        <f t="shared" si="334"/>
        <v>1450.6000000000004</v>
      </c>
      <c r="AN266" s="191">
        <f t="shared" si="335"/>
        <v>0</v>
      </c>
      <c r="AO266" s="193">
        <f t="shared" si="336"/>
        <v>1740.7200000000003</v>
      </c>
      <c r="AP266" s="193">
        <f t="shared" si="337"/>
        <v>0</v>
      </c>
      <c r="AQ266" s="193">
        <f t="shared" si="338"/>
        <v>0</v>
      </c>
      <c r="AR266" s="193">
        <f t="shared" si="339"/>
        <v>0</v>
      </c>
      <c r="AS266" s="193">
        <f t="shared" si="340"/>
        <v>0</v>
      </c>
      <c r="AT266" s="197">
        <f t="shared" si="295"/>
        <v>8703.6</v>
      </c>
      <c r="AU266" s="197">
        <f t="shared" si="295"/>
        <v>0</v>
      </c>
      <c r="AV266" s="191"/>
      <c r="AW266" s="236">
        <f t="shared" si="344"/>
        <v>8703.6</v>
      </c>
      <c r="AX266" s="236"/>
      <c r="AY266" s="619"/>
      <c r="AZ266" s="619"/>
      <c r="BA266" s="619"/>
    </row>
    <row r="267" spans="2:54" s="69" customFormat="1" ht="33">
      <c r="B267" s="660"/>
      <c r="C267" s="185"/>
      <c r="D267" s="186"/>
      <c r="E267" s="866"/>
      <c r="F267" s="660"/>
      <c r="G267" s="187"/>
      <c r="H267" s="674"/>
      <c r="I267" s="660"/>
      <c r="J267" s="688"/>
      <c r="K267" s="187">
        <f>(G267+I267)*J267</f>
        <v>0</v>
      </c>
      <c r="L267" s="660"/>
      <c r="M267" s="674"/>
      <c r="N267" s="660"/>
      <c r="O267" s="674"/>
      <c r="P267" s="187"/>
      <c r="Q267" s="187"/>
      <c r="R267" s="187">
        <f t="shared" si="325"/>
        <v>0</v>
      </c>
      <c r="S267" s="187"/>
      <c r="T267" s="187"/>
      <c r="U267" s="187"/>
      <c r="V267" s="687"/>
      <c r="W267" s="187"/>
      <c r="X267" s="674">
        <v>0</v>
      </c>
      <c r="Y267" s="688">
        <v>0</v>
      </c>
      <c r="Z267" s="187">
        <f t="shared" si="341"/>
        <v>0</v>
      </c>
      <c r="AA267" s="187"/>
      <c r="AB267" s="187">
        <f t="shared" si="342"/>
        <v>0</v>
      </c>
      <c r="AC267" s="689">
        <f>AF267</f>
        <v>0</v>
      </c>
      <c r="AD267" s="689">
        <f>AB267+AC267</f>
        <v>0</v>
      </c>
      <c r="AE267" s="190">
        <f t="shared" si="328"/>
        <v>0</v>
      </c>
      <c r="AF267" s="190">
        <f>AE267-AB267</f>
        <v>0</v>
      </c>
      <c r="AG267" s="689">
        <f>8000*S267</f>
        <v>0</v>
      </c>
      <c r="AH267" s="190">
        <f t="shared" si="343"/>
        <v>0</v>
      </c>
      <c r="AI267" s="191">
        <f>G267*S267</f>
        <v>0</v>
      </c>
      <c r="AJ267" s="191">
        <f>G267*T267</f>
        <v>0</v>
      </c>
      <c r="AK267" s="191">
        <f t="shared" si="332"/>
        <v>0</v>
      </c>
      <c r="AL267" s="191">
        <f t="shared" si="333"/>
        <v>0</v>
      </c>
      <c r="AM267" s="191">
        <f t="shared" si="334"/>
        <v>0</v>
      </c>
      <c r="AN267" s="191">
        <f t="shared" si="335"/>
        <v>0</v>
      </c>
      <c r="AO267" s="193">
        <f t="shared" si="336"/>
        <v>0</v>
      </c>
      <c r="AP267" s="193">
        <f t="shared" si="337"/>
        <v>0</v>
      </c>
      <c r="AQ267" s="193">
        <f t="shared" si="338"/>
        <v>0</v>
      </c>
      <c r="AR267" s="193">
        <f t="shared" si="339"/>
        <v>0</v>
      </c>
      <c r="AS267" s="193">
        <f t="shared" si="340"/>
        <v>0</v>
      </c>
      <c r="AT267" s="197">
        <f t="shared" si="295"/>
        <v>0</v>
      </c>
      <c r="AU267" s="197">
        <f t="shared" si="295"/>
        <v>0</v>
      </c>
      <c r="AV267" s="191"/>
      <c r="AW267" s="236">
        <f t="shared" si="344"/>
        <v>0</v>
      </c>
      <c r="AX267" s="236"/>
      <c r="AY267" s="619"/>
      <c r="AZ267" s="619"/>
      <c r="BA267" s="619"/>
    </row>
    <row r="268" spans="2:54" s="69" customFormat="1" ht="58.5">
      <c r="B268" s="660">
        <f>B266+1</f>
        <v>171</v>
      </c>
      <c r="C268" s="185" t="s">
        <v>1014</v>
      </c>
      <c r="D268" s="186" t="s">
        <v>280</v>
      </c>
      <c r="E268" s="660" t="s">
        <v>110</v>
      </c>
      <c r="F268" s="660">
        <v>11</v>
      </c>
      <c r="G268" s="187">
        <v>6294</v>
      </c>
      <c r="H268" s="674"/>
      <c r="I268" s="660"/>
      <c r="J268" s="688">
        <v>0.3</v>
      </c>
      <c r="K268" s="187">
        <f>(G268+I268)*J268</f>
        <v>1888.1999999999998</v>
      </c>
      <c r="L268" s="660"/>
      <c r="M268" s="674"/>
      <c r="N268" s="660"/>
      <c r="O268" s="674"/>
      <c r="P268" s="660"/>
      <c r="Q268" s="660"/>
      <c r="R268" s="187">
        <f t="shared" si="325"/>
        <v>8182.2</v>
      </c>
      <c r="S268" s="187">
        <v>1</v>
      </c>
      <c r="T268" s="187"/>
      <c r="U268" s="660"/>
      <c r="V268" s="674"/>
      <c r="W268" s="660"/>
      <c r="X268" s="674">
        <v>0</v>
      </c>
      <c r="Y268" s="688">
        <v>0</v>
      </c>
      <c r="Z268" s="187">
        <f t="shared" si="341"/>
        <v>0</v>
      </c>
      <c r="AA268" s="187"/>
      <c r="AB268" s="187">
        <f t="shared" si="342"/>
        <v>8182.2</v>
      </c>
      <c r="AC268" s="689">
        <f>AF268</f>
        <v>11817.8</v>
      </c>
      <c r="AD268" s="689">
        <f>AB268+AC268</f>
        <v>20000</v>
      </c>
      <c r="AE268" s="190">
        <f>20000*S268</f>
        <v>20000</v>
      </c>
      <c r="AF268" s="190">
        <f>AE268-AB268</f>
        <v>11817.8</v>
      </c>
      <c r="AG268" s="689">
        <f>8000*S268</f>
        <v>8000</v>
      </c>
      <c r="AH268" s="190">
        <f t="shared" si="343"/>
        <v>-182.19999999999982</v>
      </c>
      <c r="AI268" s="191">
        <f t="shared" si="330"/>
        <v>6294</v>
      </c>
      <c r="AJ268" s="191">
        <f t="shared" si="331"/>
        <v>0</v>
      </c>
      <c r="AK268" s="191">
        <f t="shared" si="332"/>
        <v>8182.2</v>
      </c>
      <c r="AL268" s="191">
        <f t="shared" si="333"/>
        <v>0</v>
      </c>
      <c r="AM268" s="191">
        <f t="shared" si="334"/>
        <v>1888.1999999999998</v>
      </c>
      <c r="AN268" s="191">
        <f t="shared" si="335"/>
        <v>0</v>
      </c>
      <c r="AO268" s="193">
        <f t="shared" si="336"/>
        <v>0</v>
      </c>
      <c r="AP268" s="193">
        <f t="shared" si="337"/>
        <v>0</v>
      </c>
      <c r="AQ268" s="193">
        <f t="shared" si="338"/>
        <v>0</v>
      </c>
      <c r="AR268" s="193">
        <f t="shared" si="339"/>
        <v>0</v>
      </c>
      <c r="AS268" s="193">
        <f t="shared" si="340"/>
        <v>0</v>
      </c>
      <c r="AT268" s="197">
        <f t="shared" si="295"/>
        <v>8182.2</v>
      </c>
      <c r="AU268" s="197">
        <f t="shared" si="295"/>
        <v>0</v>
      </c>
      <c r="AV268" s="191"/>
      <c r="AW268" s="236">
        <f t="shared" si="344"/>
        <v>8182.2</v>
      </c>
      <c r="AX268" s="236"/>
      <c r="AY268" s="619"/>
      <c r="AZ268" s="619"/>
      <c r="BA268" s="619"/>
    </row>
    <row r="269" spans="2:54" s="69" customFormat="1" ht="33">
      <c r="B269" s="660"/>
      <c r="C269" s="185"/>
      <c r="D269" s="186"/>
      <c r="E269" s="660"/>
      <c r="F269" s="660"/>
      <c r="G269" s="187"/>
      <c r="H269" s="674"/>
      <c r="I269" s="660"/>
      <c r="J269" s="688">
        <v>0.25</v>
      </c>
      <c r="K269" s="187">
        <f>(G269+I269)*J269</f>
        <v>0</v>
      </c>
      <c r="L269" s="660"/>
      <c r="M269" s="674"/>
      <c r="N269" s="660"/>
      <c r="O269" s="674"/>
      <c r="P269" s="187"/>
      <c r="Q269" s="187"/>
      <c r="R269" s="187">
        <f t="shared" si="325"/>
        <v>0</v>
      </c>
      <c r="S269" s="187"/>
      <c r="T269" s="187"/>
      <c r="U269" s="187"/>
      <c r="V269" s="687"/>
      <c r="W269" s="187"/>
      <c r="X269" s="674"/>
      <c r="Y269" s="688">
        <v>0.3</v>
      </c>
      <c r="Z269" s="187">
        <f t="shared" si="341"/>
        <v>0</v>
      </c>
      <c r="AA269" s="187"/>
      <c r="AB269" s="187">
        <f t="shared" si="342"/>
        <v>0</v>
      </c>
      <c r="AC269" s="689">
        <f>AF269</f>
        <v>0</v>
      </c>
      <c r="AD269" s="689">
        <f>AB269+AC269</f>
        <v>0</v>
      </c>
      <c r="AE269" s="190">
        <f>20000*T269</f>
        <v>0</v>
      </c>
      <c r="AF269" s="190">
        <f>AE269-AB269</f>
        <v>0</v>
      </c>
      <c r="AG269" s="689">
        <f>7100*T269</f>
        <v>0</v>
      </c>
      <c r="AH269" s="190">
        <f t="shared" si="343"/>
        <v>0</v>
      </c>
      <c r="AI269" s="191">
        <f>G269*S269</f>
        <v>0</v>
      </c>
      <c r="AJ269" s="191">
        <f>G269*T269</f>
        <v>0</v>
      </c>
      <c r="AK269" s="191">
        <f t="shared" si="332"/>
        <v>0</v>
      </c>
      <c r="AL269" s="191">
        <f t="shared" si="333"/>
        <v>0</v>
      </c>
      <c r="AM269" s="191">
        <f t="shared" si="334"/>
        <v>0</v>
      </c>
      <c r="AN269" s="191">
        <f t="shared" si="335"/>
        <v>0</v>
      </c>
      <c r="AO269" s="193">
        <f t="shared" si="336"/>
        <v>0</v>
      </c>
      <c r="AP269" s="193">
        <f t="shared" si="337"/>
        <v>0</v>
      </c>
      <c r="AQ269" s="193">
        <f t="shared" si="338"/>
        <v>0</v>
      </c>
      <c r="AR269" s="193">
        <f t="shared" si="339"/>
        <v>0</v>
      </c>
      <c r="AS269" s="193">
        <f t="shared" si="340"/>
        <v>0</v>
      </c>
      <c r="AT269" s="197">
        <f t="shared" si="295"/>
        <v>0</v>
      </c>
      <c r="AU269" s="197">
        <f t="shared" si="295"/>
        <v>0</v>
      </c>
      <c r="AV269" s="191"/>
      <c r="AW269" s="236">
        <f t="shared" si="344"/>
        <v>0</v>
      </c>
      <c r="AX269" s="236"/>
      <c r="AY269" s="619"/>
      <c r="AZ269" s="619"/>
      <c r="BA269" s="619"/>
    </row>
    <row r="270" spans="2:54" s="71" customFormat="1" ht="58.5">
      <c r="B270" s="660">
        <f>1+B268</f>
        <v>172</v>
      </c>
      <c r="C270" s="185" t="s">
        <v>1014</v>
      </c>
      <c r="D270" s="186" t="s">
        <v>1695</v>
      </c>
      <c r="E270" s="660" t="s">
        <v>1015</v>
      </c>
      <c r="F270" s="660">
        <v>13</v>
      </c>
      <c r="G270" s="187">
        <v>7253</v>
      </c>
      <c r="H270" s="674"/>
      <c r="I270" s="660"/>
      <c r="J270" s="688"/>
      <c r="K270" s="187"/>
      <c r="L270" s="660"/>
      <c r="M270" s="674"/>
      <c r="N270" s="660"/>
      <c r="O270" s="674"/>
      <c r="P270" s="187"/>
      <c r="Q270" s="187"/>
      <c r="R270" s="187">
        <f t="shared" si="325"/>
        <v>7253</v>
      </c>
      <c r="S270" s="187"/>
      <c r="T270" s="187">
        <v>0.25</v>
      </c>
      <c r="U270" s="187"/>
      <c r="V270" s="687"/>
      <c r="W270" s="187"/>
      <c r="X270" s="674">
        <v>27</v>
      </c>
      <c r="Y270" s="688">
        <v>0.3</v>
      </c>
      <c r="Z270" s="187">
        <f t="shared" si="341"/>
        <v>2175.9</v>
      </c>
      <c r="AA270" s="187"/>
      <c r="AB270" s="187">
        <f>(R270+Z270)*T270+AA270</f>
        <v>2357.2249999999999</v>
      </c>
      <c r="AC270" s="689">
        <f>AF270</f>
        <v>2642.7750000000001</v>
      </c>
      <c r="AD270" s="689">
        <f>AB270+AC270</f>
        <v>5000</v>
      </c>
      <c r="AE270" s="190">
        <f>20000*T270</f>
        <v>5000</v>
      </c>
      <c r="AF270" s="190">
        <f>AE270-AB270</f>
        <v>2642.7750000000001</v>
      </c>
      <c r="AG270" s="689">
        <f>8000*T270</f>
        <v>2000</v>
      </c>
      <c r="AH270" s="190">
        <f>AG270-(R270+Z270)*T270</f>
        <v>-357.22499999999991</v>
      </c>
      <c r="AI270" s="191">
        <f>G270*S270</f>
        <v>0</v>
      </c>
      <c r="AJ270" s="191">
        <f>G270*T270</f>
        <v>1813.25</v>
      </c>
      <c r="AK270" s="191">
        <f t="shared" si="332"/>
        <v>0</v>
      </c>
      <c r="AL270" s="191">
        <f t="shared" si="333"/>
        <v>1813.25</v>
      </c>
      <c r="AM270" s="191">
        <f t="shared" si="334"/>
        <v>0</v>
      </c>
      <c r="AN270" s="191">
        <f t="shared" si="335"/>
        <v>0</v>
      </c>
      <c r="AO270" s="193">
        <f t="shared" si="336"/>
        <v>0</v>
      </c>
      <c r="AP270" s="193">
        <f t="shared" si="337"/>
        <v>543.97500000000002</v>
      </c>
      <c r="AQ270" s="193">
        <f t="shared" si="338"/>
        <v>0</v>
      </c>
      <c r="AR270" s="193">
        <f t="shared" si="339"/>
        <v>0</v>
      </c>
      <c r="AS270" s="193">
        <f t="shared" si="340"/>
        <v>0</v>
      </c>
      <c r="AT270" s="197">
        <f t="shared" si="295"/>
        <v>0</v>
      </c>
      <c r="AU270" s="197">
        <f t="shared" si="295"/>
        <v>1813.25</v>
      </c>
      <c r="AV270" s="191"/>
      <c r="AW270" s="236">
        <f>R270*T270</f>
        <v>1813.25</v>
      </c>
      <c r="AX270" s="236"/>
      <c r="AY270" s="619"/>
      <c r="AZ270" s="619"/>
      <c r="BA270" s="619"/>
    </row>
    <row r="271" spans="2:54" s="69" customFormat="1" ht="33">
      <c r="B271" s="660"/>
      <c r="C271" s="185"/>
      <c r="D271" s="186"/>
      <c r="E271" s="660"/>
      <c r="F271" s="660">
        <v>12</v>
      </c>
      <c r="G271" s="187">
        <v>6773</v>
      </c>
      <c r="H271" s="674"/>
      <c r="I271" s="660"/>
      <c r="J271" s="688"/>
      <c r="K271" s="187"/>
      <c r="L271" s="660"/>
      <c r="M271" s="674"/>
      <c r="N271" s="660"/>
      <c r="O271" s="674"/>
      <c r="P271" s="187"/>
      <c r="Q271" s="187"/>
      <c r="R271" s="187">
        <f t="shared" si="325"/>
        <v>6773</v>
      </c>
      <c r="S271" s="187"/>
      <c r="T271" s="187"/>
      <c r="U271" s="187"/>
      <c r="V271" s="687"/>
      <c r="W271" s="187"/>
      <c r="X271" s="674"/>
      <c r="Y271" s="688"/>
      <c r="Z271" s="187">
        <f t="shared" si="341"/>
        <v>0</v>
      </c>
      <c r="AA271" s="187"/>
      <c r="AB271" s="187">
        <f>(R271+Z271)*T271+AA271</f>
        <v>0</v>
      </c>
      <c r="AC271" s="689">
        <f>AF271</f>
        <v>0</v>
      </c>
      <c r="AD271" s="689">
        <f>AB271+AC271</f>
        <v>0</v>
      </c>
      <c r="AE271" s="190">
        <f>20000*T271</f>
        <v>0</v>
      </c>
      <c r="AF271" s="190">
        <f>AE271-AB271</f>
        <v>0</v>
      </c>
      <c r="AG271" s="689">
        <f>8000*T271</f>
        <v>0</v>
      </c>
      <c r="AH271" s="190">
        <f>AG271-(R271+Z271)*T271</f>
        <v>0</v>
      </c>
      <c r="AI271" s="191">
        <f>G271*S271</f>
        <v>0</v>
      </c>
      <c r="AJ271" s="191">
        <f>G271*T271</f>
        <v>0</v>
      </c>
      <c r="AK271" s="191">
        <f t="shared" si="332"/>
        <v>0</v>
      </c>
      <c r="AL271" s="191">
        <f t="shared" si="333"/>
        <v>0</v>
      </c>
      <c r="AM271" s="191">
        <f t="shared" si="334"/>
        <v>0</v>
      </c>
      <c r="AN271" s="191">
        <f t="shared" si="335"/>
        <v>0</v>
      </c>
      <c r="AO271" s="193">
        <f t="shared" si="336"/>
        <v>0</v>
      </c>
      <c r="AP271" s="193">
        <f t="shared" si="337"/>
        <v>0</v>
      </c>
      <c r="AQ271" s="193">
        <f t="shared" si="338"/>
        <v>0</v>
      </c>
      <c r="AR271" s="193">
        <f t="shared" si="339"/>
        <v>0</v>
      </c>
      <c r="AS271" s="193">
        <f t="shared" si="340"/>
        <v>0</v>
      </c>
      <c r="AT271" s="197">
        <f t="shared" si="295"/>
        <v>0</v>
      </c>
      <c r="AU271" s="197">
        <f t="shared" si="295"/>
        <v>0</v>
      </c>
      <c r="AV271" s="191"/>
      <c r="AW271" s="236">
        <f>R271*T271</f>
        <v>0</v>
      </c>
      <c r="AX271" s="236"/>
      <c r="AY271" s="619"/>
      <c r="AZ271" s="619"/>
      <c r="BA271" s="619"/>
    </row>
    <row r="272" spans="2:54" s="69" customFormat="1" ht="58.5">
      <c r="B272" s="660">
        <f>B270+1</f>
        <v>173</v>
      </c>
      <c r="C272" s="185" t="s">
        <v>1014</v>
      </c>
      <c r="D272" s="186" t="s">
        <v>281</v>
      </c>
      <c r="E272" s="660" t="s">
        <v>1017</v>
      </c>
      <c r="F272" s="660">
        <v>13</v>
      </c>
      <c r="G272" s="187">
        <v>7253</v>
      </c>
      <c r="H272" s="674"/>
      <c r="I272" s="660"/>
      <c r="J272" s="688"/>
      <c r="K272" s="187"/>
      <c r="L272" s="660"/>
      <c r="M272" s="674"/>
      <c r="N272" s="660"/>
      <c r="O272" s="674"/>
      <c r="P272" s="187"/>
      <c r="Q272" s="187"/>
      <c r="R272" s="187">
        <f t="shared" si="325"/>
        <v>7253</v>
      </c>
      <c r="S272" s="187"/>
      <c r="T272" s="187">
        <v>0.5</v>
      </c>
      <c r="U272" s="187"/>
      <c r="V272" s="687"/>
      <c r="W272" s="187"/>
      <c r="X272" s="674">
        <v>10</v>
      </c>
      <c r="Y272" s="688">
        <v>0.2</v>
      </c>
      <c r="Z272" s="187">
        <f t="shared" si="341"/>
        <v>1450.6000000000001</v>
      </c>
      <c r="AA272" s="187"/>
      <c r="AB272" s="187">
        <f>(R272+Z272)*T272+AA272</f>
        <v>4351.8</v>
      </c>
      <c r="AC272" s="689">
        <f t="shared" si="326"/>
        <v>5648.2</v>
      </c>
      <c r="AD272" s="689">
        <f t="shared" si="327"/>
        <v>10000</v>
      </c>
      <c r="AE272" s="190">
        <f>20000*T272</f>
        <v>10000</v>
      </c>
      <c r="AF272" s="190">
        <f t="shared" si="329"/>
        <v>5648.2</v>
      </c>
      <c r="AG272" s="689">
        <f>8000*T272</f>
        <v>4000</v>
      </c>
      <c r="AH272" s="190">
        <f>AG272-(R272+Z272)*T272</f>
        <v>-351.80000000000018</v>
      </c>
      <c r="AI272" s="191">
        <f t="shared" si="330"/>
        <v>0</v>
      </c>
      <c r="AJ272" s="191">
        <f t="shared" si="331"/>
        <v>3626.5</v>
      </c>
      <c r="AK272" s="191">
        <f t="shared" si="332"/>
        <v>0</v>
      </c>
      <c r="AL272" s="191">
        <f t="shared" si="333"/>
        <v>3626.5</v>
      </c>
      <c r="AM272" s="191">
        <f t="shared" si="334"/>
        <v>0</v>
      </c>
      <c r="AN272" s="191">
        <f t="shared" si="335"/>
        <v>0</v>
      </c>
      <c r="AO272" s="193">
        <f t="shared" si="336"/>
        <v>0</v>
      </c>
      <c r="AP272" s="193">
        <f t="shared" si="337"/>
        <v>725.30000000000007</v>
      </c>
      <c r="AQ272" s="193">
        <f t="shared" si="338"/>
        <v>0</v>
      </c>
      <c r="AR272" s="193">
        <f t="shared" si="339"/>
        <v>0</v>
      </c>
      <c r="AS272" s="193">
        <f t="shared" si="340"/>
        <v>0</v>
      </c>
      <c r="AT272" s="197">
        <f t="shared" si="295"/>
        <v>0</v>
      </c>
      <c r="AU272" s="197">
        <f t="shared" si="295"/>
        <v>3626.5</v>
      </c>
      <c r="AV272" s="191"/>
      <c r="AW272" s="236">
        <f>R272*T272</f>
        <v>3626.5</v>
      </c>
      <c r="AX272" s="236"/>
      <c r="AY272" s="619"/>
      <c r="AZ272" s="619"/>
      <c r="BA272" s="619"/>
    </row>
    <row r="273" spans="2:53" s="69" customFormat="1" ht="87.75">
      <c r="B273" s="660">
        <f>1+B272</f>
        <v>174</v>
      </c>
      <c r="C273" s="185" t="s">
        <v>1697</v>
      </c>
      <c r="D273" s="186" t="s">
        <v>1698</v>
      </c>
      <c r="E273" s="660" t="s">
        <v>1699</v>
      </c>
      <c r="F273" s="660">
        <v>11</v>
      </c>
      <c r="G273" s="187">
        <v>6294</v>
      </c>
      <c r="H273" s="674"/>
      <c r="I273" s="660"/>
      <c r="J273" s="688">
        <v>0.3</v>
      </c>
      <c r="K273" s="187">
        <f>(G273+I273)*J273</f>
        <v>1888.1999999999998</v>
      </c>
      <c r="L273" s="660"/>
      <c r="M273" s="674"/>
      <c r="N273" s="660"/>
      <c r="O273" s="674"/>
      <c r="P273" s="187"/>
      <c r="Q273" s="187"/>
      <c r="R273" s="187">
        <f t="shared" si="325"/>
        <v>8182.2</v>
      </c>
      <c r="S273" s="187">
        <v>1</v>
      </c>
      <c r="T273" s="187"/>
      <c r="U273" s="187"/>
      <c r="V273" s="687"/>
      <c r="W273" s="187"/>
      <c r="X273" s="674">
        <v>4</v>
      </c>
      <c r="Y273" s="688">
        <v>0.1</v>
      </c>
      <c r="Z273" s="187">
        <f t="shared" si="341"/>
        <v>818.22</v>
      </c>
      <c r="AA273" s="187"/>
      <c r="AB273" s="187">
        <f>(R273+Z273)*S273+AA273</f>
        <v>9000.42</v>
      </c>
      <c r="AC273" s="689">
        <f>AF273</f>
        <v>10999.58</v>
      </c>
      <c r="AD273" s="689">
        <f>AB273+AC273</f>
        <v>20000</v>
      </c>
      <c r="AE273" s="190">
        <f>20000*S273</f>
        <v>20000</v>
      </c>
      <c r="AF273" s="190">
        <f>AE273-AB273</f>
        <v>10999.58</v>
      </c>
      <c r="AG273" s="689">
        <f>8000*S273</f>
        <v>8000</v>
      </c>
      <c r="AH273" s="190">
        <f>AG273-(R273+Z273)*S273</f>
        <v>-1000.4200000000001</v>
      </c>
      <c r="AI273" s="191">
        <f>G273*S273</f>
        <v>6294</v>
      </c>
      <c r="AJ273" s="191">
        <f>G273*T273</f>
        <v>0</v>
      </c>
      <c r="AK273" s="191">
        <f t="shared" si="332"/>
        <v>8182.2</v>
      </c>
      <c r="AL273" s="191">
        <f t="shared" si="333"/>
        <v>0</v>
      </c>
      <c r="AM273" s="191">
        <f t="shared" si="334"/>
        <v>1888.1999999999998</v>
      </c>
      <c r="AN273" s="191">
        <f t="shared" si="335"/>
        <v>0</v>
      </c>
      <c r="AO273" s="193">
        <f t="shared" si="336"/>
        <v>818.22</v>
      </c>
      <c r="AP273" s="193">
        <f t="shared" si="337"/>
        <v>0</v>
      </c>
      <c r="AQ273" s="193">
        <f t="shared" si="338"/>
        <v>0</v>
      </c>
      <c r="AR273" s="193">
        <f t="shared" si="339"/>
        <v>0</v>
      </c>
      <c r="AS273" s="193">
        <f t="shared" si="340"/>
        <v>0</v>
      </c>
      <c r="AT273" s="197">
        <f t="shared" si="295"/>
        <v>8182.2</v>
      </c>
      <c r="AU273" s="197">
        <f t="shared" si="295"/>
        <v>0</v>
      </c>
      <c r="AV273" s="191"/>
      <c r="AW273" s="236">
        <f>R273*S273</f>
        <v>8182.2</v>
      </c>
      <c r="AX273" s="236"/>
      <c r="AY273" s="619"/>
      <c r="AZ273" s="619"/>
      <c r="BA273" s="619"/>
    </row>
    <row r="274" spans="2:53" s="69" customFormat="1" ht="33">
      <c r="B274" s="660"/>
      <c r="C274" s="867"/>
      <c r="D274" s="862"/>
      <c r="E274" s="866"/>
      <c r="F274" s="866"/>
      <c r="G274" s="868"/>
      <c r="H274" s="863"/>
      <c r="I274" s="866"/>
      <c r="J274" s="864"/>
      <c r="K274" s="868"/>
      <c r="L274" s="866"/>
      <c r="M274" s="863"/>
      <c r="N274" s="866"/>
      <c r="O274" s="863"/>
      <c r="P274" s="868"/>
      <c r="Q274" s="868"/>
      <c r="R274" s="187">
        <f t="shared" si="325"/>
        <v>0</v>
      </c>
      <c r="S274" s="868"/>
      <c r="T274" s="868"/>
      <c r="U274" s="868"/>
      <c r="V274" s="869"/>
      <c r="W274" s="868"/>
      <c r="X274" s="674"/>
      <c r="Y274" s="688"/>
      <c r="Z274" s="187">
        <f t="shared" si="341"/>
        <v>0</v>
      </c>
      <c r="AA274" s="187"/>
      <c r="AB274" s="187">
        <f>(R274+Z274)*S274+AA274</f>
        <v>0</v>
      </c>
      <c r="AC274" s="689">
        <f>AF274</f>
        <v>0</v>
      </c>
      <c r="AD274" s="689">
        <f>AB274+AC274</f>
        <v>0</v>
      </c>
      <c r="AE274" s="190">
        <f>20000*S274</f>
        <v>0</v>
      </c>
      <c r="AF274" s="190">
        <f>AE274-AB274</f>
        <v>0</v>
      </c>
      <c r="AG274" s="689">
        <f>8000*S274</f>
        <v>0</v>
      </c>
      <c r="AH274" s="190">
        <f>AG274-(R274+Z274)*S274</f>
        <v>0</v>
      </c>
      <c r="AI274" s="191">
        <f>G274*S274</f>
        <v>0</v>
      </c>
      <c r="AJ274" s="191">
        <f>G274*T274</f>
        <v>0</v>
      </c>
      <c r="AK274" s="191">
        <f t="shared" si="332"/>
        <v>0</v>
      </c>
      <c r="AL274" s="191">
        <f t="shared" si="333"/>
        <v>0</v>
      </c>
      <c r="AM274" s="191">
        <f t="shared" si="334"/>
        <v>0</v>
      </c>
      <c r="AN274" s="191">
        <f t="shared" si="335"/>
        <v>0</v>
      </c>
      <c r="AO274" s="193">
        <f t="shared" si="336"/>
        <v>0</v>
      </c>
      <c r="AP274" s="193">
        <f t="shared" si="337"/>
        <v>0</v>
      </c>
      <c r="AQ274" s="193">
        <f t="shared" si="338"/>
        <v>0</v>
      </c>
      <c r="AR274" s="193">
        <f t="shared" si="339"/>
        <v>0</v>
      </c>
      <c r="AS274" s="193">
        <f t="shared" si="340"/>
        <v>0</v>
      </c>
      <c r="AT274" s="197">
        <f t="shared" si="295"/>
        <v>0</v>
      </c>
      <c r="AU274" s="197">
        <f t="shared" si="295"/>
        <v>0</v>
      </c>
      <c r="AV274" s="191"/>
      <c r="AW274" s="236">
        <f>R274*S274</f>
        <v>0</v>
      </c>
      <c r="AX274" s="236"/>
      <c r="AY274" s="619"/>
      <c r="AZ274" s="619"/>
      <c r="BA274" s="619"/>
    </row>
    <row r="275" spans="2:53" s="69" customFormat="1" ht="31.5">
      <c r="B275" s="660"/>
      <c r="C275" s="168" t="s">
        <v>1662</v>
      </c>
      <c r="D275" s="195"/>
      <c r="E275" s="181"/>
      <c r="F275" s="181"/>
      <c r="G275" s="171">
        <f>SUM(G262:G274)</f>
        <v>68214</v>
      </c>
      <c r="H275" s="682"/>
      <c r="I275" s="171">
        <f>SUM(I262:I274)</f>
        <v>1573.5</v>
      </c>
      <c r="J275" s="682"/>
      <c r="K275" s="173">
        <f>SUM(K262:K274)</f>
        <v>7587.25</v>
      </c>
      <c r="L275" s="181"/>
      <c r="M275" s="682"/>
      <c r="N275" s="181"/>
      <c r="O275" s="682"/>
      <c r="P275" s="181"/>
      <c r="Q275" s="181"/>
      <c r="R275" s="171">
        <f>SUM(R262:R274)</f>
        <v>77374.749999999985</v>
      </c>
      <c r="S275" s="171">
        <f>SUM(S262:S274)</f>
        <v>6.25</v>
      </c>
      <c r="T275" s="171">
        <f>SUM(T262:T274)</f>
        <v>1.25</v>
      </c>
      <c r="U275" s="171"/>
      <c r="V275" s="693"/>
      <c r="W275" s="171"/>
      <c r="X275" s="693"/>
      <c r="Y275" s="693"/>
      <c r="Z275" s="171">
        <f>SUM(Z262:Z274)</f>
        <v>11560.015000000001</v>
      </c>
      <c r="AA275" s="171">
        <f>SUM(AA262:AA274)</f>
        <v>2132.5</v>
      </c>
      <c r="AB275" s="171">
        <f>SUM(AB262:AB274)</f>
        <v>69729.84</v>
      </c>
      <c r="AC275" s="171">
        <f>SUM(AC262:AC274)</f>
        <v>80270.16</v>
      </c>
      <c r="AD275" s="171">
        <f>SUM(AD262:AD274)</f>
        <v>150000</v>
      </c>
      <c r="AE275" s="171">
        <f t="shared" ref="AE275:AV275" si="345">SUM(AE262:AE274)</f>
        <v>150000</v>
      </c>
      <c r="AF275" s="171">
        <f t="shared" si="345"/>
        <v>80270.16</v>
      </c>
      <c r="AG275" s="171">
        <f>SUM(AG262:AG274)</f>
        <v>60000</v>
      </c>
      <c r="AH275" s="171">
        <f t="shared" si="345"/>
        <v>-7597.3399999999992</v>
      </c>
      <c r="AI275" s="171">
        <f t="shared" si="345"/>
        <v>41255.5</v>
      </c>
      <c r="AJ275" s="171">
        <f t="shared" si="345"/>
        <v>9066.25</v>
      </c>
      <c r="AK275" s="171">
        <f t="shared" si="345"/>
        <v>50416.249999999993</v>
      </c>
      <c r="AL275" s="171">
        <f t="shared" si="345"/>
        <v>9066.25</v>
      </c>
      <c r="AM275" s="171">
        <f t="shared" si="345"/>
        <v>9160.75</v>
      </c>
      <c r="AN275" s="171">
        <f t="shared" si="345"/>
        <v>0</v>
      </c>
      <c r="AO275" s="171">
        <f t="shared" si="345"/>
        <v>5757.6150000000007</v>
      </c>
      <c r="AP275" s="171">
        <f t="shared" si="345"/>
        <v>2357.2250000000004</v>
      </c>
      <c r="AQ275" s="171">
        <f t="shared" si="345"/>
        <v>2132.5</v>
      </c>
      <c r="AR275" s="171">
        <f t="shared" si="345"/>
        <v>0</v>
      </c>
      <c r="AS275" s="171">
        <f t="shared" si="345"/>
        <v>0</v>
      </c>
      <c r="AT275" s="171">
        <f t="shared" si="345"/>
        <v>50416.249999999993</v>
      </c>
      <c r="AU275" s="171">
        <f t="shared" si="345"/>
        <v>9066.25</v>
      </c>
      <c r="AV275" s="171">
        <f t="shared" si="345"/>
        <v>0</v>
      </c>
      <c r="AW275" s="171">
        <f>SUM(AW262:AW274)</f>
        <v>59482.499999999993</v>
      </c>
      <c r="AX275" s="171">
        <f>SUM(AX262:AX274)</f>
        <v>0</v>
      </c>
      <c r="AY275" s="619"/>
      <c r="AZ275" s="619"/>
      <c r="BA275" s="619"/>
    </row>
    <row r="276" spans="2:53" s="69" customFormat="1" ht="33">
      <c r="B276" s="660"/>
      <c r="C276" s="208" t="s">
        <v>1508</v>
      </c>
      <c r="D276" s="180"/>
      <c r="E276" s="181"/>
      <c r="F276" s="181"/>
      <c r="G276" s="181"/>
      <c r="H276" s="682"/>
      <c r="I276" s="181"/>
      <c r="J276" s="682"/>
      <c r="K276" s="181"/>
      <c r="L276" s="181"/>
      <c r="M276" s="682"/>
      <c r="N276" s="181"/>
      <c r="O276" s="682"/>
      <c r="P276" s="181"/>
      <c r="Q276" s="181"/>
      <c r="R276" s="181"/>
      <c r="S276" s="181"/>
      <c r="T276" s="181"/>
      <c r="U276" s="181"/>
      <c r="V276" s="683"/>
      <c r="W276" s="181"/>
      <c r="X276" s="683"/>
      <c r="Y276" s="683"/>
      <c r="Z276" s="181"/>
      <c r="AA276" s="181"/>
      <c r="AB276" s="181"/>
      <c r="AC276" s="183"/>
      <c r="AD276" s="183"/>
      <c r="AE276" s="183"/>
      <c r="AF276" s="183"/>
      <c r="AG276" s="183"/>
      <c r="AH276" s="183"/>
      <c r="AI276" s="191"/>
      <c r="AJ276" s="191"/>
      <c r="AK276" s="191"/>
      <c r="AL276" s="191"/>
      <c r="AM276" s="191"/>
      <c r="AN276" s="191"/>
      <c r="AO276" s="193"/>
      <c r="AP276" s="193"/>
      <c r="AQ276" s="193"/>
      <c r="AR276" s="193"/>
      <c r="AS276" s="193"/>
      <c r="AT276" s="197"/>
      <c r="AU276" s="197"/>
      <c r="AV276" s="191"/>
      <c r="AW276" s="236"/>
      <c r="AX276" s="236"/>
      <c r="AY276" s="619"/>
      <c r="AZ276" s="619"/>
      <c r="BA276" s="619"/>
    </row>
    <row r="277" spans="2:53" s="69" customFormat="1" ht="63">
      <c r="B277" s="660">
        <f>B273+1</f>
        <v>175</v>
      </c>
      <c r="C277" s="185" t="s">
        <v>1050</v>
      </c>
      <c r="D277" s="186" t="s">
        <v>282</v>
      </c>
      <c r="E277" s="660" t="s">
        <v>1075</v>
      </c>
      <c r="F277" s="660">
        <v>9</v>
      </c>
      <c r="G277" s="187">
        <v>5527</v>
      </c>
      <c r="H277" s="688">
        <v>0.1</v>
      </c>
      <c r="I277" s="187">
        <f>G277*H277</f>
        <v>552.70000000000005</v>
      </c>
      <c r="J277" s="687"/>
      <c r="K277" s="187"/>
      <c r="L277" s="187"/>
      <c r="M277" s="687"/>
      <c r="N277" s="187"/>
      <c r="O277" s="687"/>
      <c r="P277" s="187"/>
      <c r="Q277" s="187"/>
      <c r="R277" s="187">
        <f>G277+I277+K277+L277+N277+P277+Q277</f>
        <v>6079.7</v>
      </c>
      <c r="S277" s="187">
        <v>1</v>
      </c>
      <c r="T277" s="187"/>
      <c r="U277" s="187"/>
      <c r="V277" s="687"/>
      <c r="W277" s="187"/>
      <c r="X277" s="674">
        <v>33</v>
      </c>
      <c r="Y277" s="688">
        <v>0.3</v>
      </c>
      <c r="Z277" s="187">
        <f>R277*Y277</f>
        <v>1823.9099999999999</v>
      </c>
      <c r="AA277" s="187">
        <f t="shared" ref="AA277:AA282" si="346">AH277</f>
        <v>96.390000000000327</v>
      </c>
      <c r="AB277" s="187">
        <f>(R277+Z277)*S277+AA277</f>
        <v>8000</v>
      </c>
      <c r="AC277" s="689">
        <f t="shared" ref="AC277:AC284" si="347">AF277</f>
        <v>5500</v>
      </c>
      <c r="AD277" s="689">
        <f t="shared" ref="AD277:AD284" si="348">AB277+AC277</f>
        <v>13500</v>
      </c>
      <c r="AE277" s="190">
        <f t="shared" ref="AE277:AE284" si="349">13500*S277</f>
        <v>13500</v>
      </c>
      <c r="AF277" s="190">
        <f t="shared" ref="AF277:AF284" si="350">AE277-AB277</f>
        <v>5500</v>
      </c>
      <c r="AG277" s="689">
        <f>8000*S277</f>
        <v>8000</v>
      </c>
      <c r="AH277" s="190">
        <f>AG277-(R277+Z277)*S277</f>
        <v>96.390000000000327</v>
      </c>
      <c r="AI277" s="191">
        <f t="shared" ref="AI277:AI284" si="351">G277*S277</f>
        <v>5527</v>
      </c>
      <c r="AJ277" s="191">
        <f t="shared" ref="AJ277:AJ284" si="352">G277*T277</f>
        <v>0</v>
      </c>
      <c r="AK277" s="191">
        <f t="shared" ref="AK277:AK284" si="353">R277*S277</f>
        <v>6079.7</v>
      </c>
      <c r="AL277" s="191">
        <f t="shared" ref="AL277:AL284" si="354">R277*T277</f>
        <v>0</v>
      </c>
      <c r="AM277" s="191">
        <f t="shared" ref="AM277:AN284" si="355">AK277-AI277</f>
        <v>552.69999999999982</v>
      </c>
      <c r="AN277" s="191">
        <f t="shared" si="355"/>
        <v>0</v>
      </c>
      <c r="AO277" s="193">
        <f t="shared" ref="AO277:AO284" si="356">Z277*S277</f>
        <v>1823.9099999999999</v>
      </c>
      <c r="AP277" s="193">
        <f t="shared" ref="AP277:AP284" si="357">Z277*T277</f>
        <v>0</v>
      </c>
      <c r="AQ277" s="193">
        <f t="shared" ref="AQ277:AQ284" si="358">AA277</f>
        <v>96.390000000000327</v>
      </c>
      <c r="AR277" s="193">
        <f t="shared" ref="AR277:AR284" si="359">W277*S277</f>
        <v>0</v>
      </c>
      <c r="AS277" s="193">
        <f t="shared" ref="AS277:AS284" si="360">W277*T277</f>
        <v>0</v>
      </c>
      <c r="AT277" s="197">
        <f t="shared" si="295"/>
        <v>6079.7</v>
      </c>
      <c r="AU277" s="197">
        <f t="shared" si="295"/>
        <v>0</v>
      </c>
      <c r="AV277" s="191"/>
      <c r="AW277" s="236">
        <f>R277*S277</f>
        <v>6079.7</v>
      </c>
      <c r="AX277" s="236"/>
      <c r="AY277" s="619"/>
      <c r="AZ277" s="619"/>
      <c r="BA277" s="619"/>
    </row>
    <row r="278" spans="2:53" s="69" customFormat="1" ht="63">
      <c r="B278" s="660">
        <f t="shared" ref="B278:B283" si="361">1+B277</f>
        <v>176</v>
      </c>
      <c r="C278" s="185" t="s">
        <v>1035</v>
      </c>
      <c r="D278" s="186" t="s">
        <v>1066</v>
      </c>
      <c r="E278" s="660" t="s">
        <v>1067</v>
      </c>
      <c r="F278" s="660">
        <v>9</v>
      </c>
      <c r="G278" s="187">
        <v>5527</v>
      </c>
      <c r="H278" s="687"/>
      <c r="I278" s="187"/>
      <c r="J278" s="688"/>
      <c r="K278" s="189"/>
      <c r="L278" s="189"/>
      <c r="M278" s="687"/>
      <c r="N278" s="187"/>
      <c r="O278" s="687"/>
      <c r="P278" s="194"/>
      <c r="Q278" s="194"/>
      <c r="R278" s="187">
        <f t="shared" ref="R278:R284" si="362">G278+I278+K278+L278+N278+P278+Q278</f>
        <v>5527</v>
      </c>
      <c r="S278" s="187">
        <v>1</v>
      </c>
      <c r="T278" s="187"/>
      <c r="U278" s="194"/>
      <c r="V278" s="692"/>
      <c r="W278" s="194"/>
      <c r="X278" s="674">
        <v>32</v>
      </c>
      <c r="Y278" s="688">
        <v>0.3</v>
      </c>
      <c r="Z278" s="187">
        <f>R278*Y278</f>
        <v>1658.1</v>
      </c>
      <c r="AA278" s="187">
        <f t="shared" si="346"/>
        <v>814.89999999999964</v>
      </c>
      <c r="AB278" s="187">
        <f t="shared" ref="AB278:AB284" si="363">(R278+Z278)*S278+AA278</f>
        <v>8000</v>
      </c>
      <c r="AC278" s="689">
        <f t="shared" si="347"/>
        <v>5500</v>
      </c>
      <c r="AD278" s="689">
        <f t="shared" si="348"/>
        <v>13500</v>
      </c>
      <c r="AE278" s="190">
        <f t="shared" si="349"/>
        <v>13500</v>
      </c>
      <c r="AF278" s="190">
        <f t="shared" si="350"/>
        <v>5500</v>
      </c>
      <c r="AG278" s="689">
        <f t="shared" ref="AG278:AG284" si="364">8000*S278</f>
        <v>8000</v>
      </c>
      <c r="AH278" s="190">
        <f t="shared" ref="AH278:AH284" si="365">AG278-(R278+Z278)*S278</f>
        <v>814.89999999999964</v>
      </c>
      <c r="AI278" s="191">
        <f t="shared" si="351"/>
        <v>5527</v>
      </c>
      <c r="AJ278" s="191">
        <f t="shared" si="352"/>
        <v>0</v>
      </c>
      <c r="AK278" s="191">
        <f t="shared" si="353"/>
        <v>5527</v>
      </c>
      <c r="AL278" s="191">
        <f t="shared" si="354"/>
        <v>0</v>
      </c>
      <c r="AM278" s="191">
        <f t="shared" si="355"/>
        <v>0</v>
      </c>
      <c r="AN278" s="191">
        <f t="shared" si="355"/>
        <v>0</v>
      </c>
      <c r="AO278" s="193">
        <f t="shared" si="356"/>
        <v>1658.1</v>
      </c>
      <c r="AP278" s="193">
        <f t="shared" si="357"/>
        <v>0</v>
      </c>
      <c r="AQ278" s="193">
        <f t="shared" si="358"/>
        <v>814.89999999999964</v>
      </c>
      <c r="AR278" s="193">
        <f t="shared" si="359"/>
        <v>0</v>
      </c>
      <c r="AS278" s="193">
        <f t="shared" si="360"/>
        <v>0</v>
      </c>
      <c r="AT278" s="197">
        <f t="shared" si="295"/>
        <v>5527</v>
      </c>
      <c r="AU278" s="197">
        <f t="shared" si="295"/>
        <v>0</v>
      </c>
      <c r="AV278" s="191"/>
      <c r="AW278" s="236">
        <f t="shared" ref="AW278:AW284" si="366">R278*S278</f>
        <v>5527</v>
      </c>
      <c r="AX278" s="236"/>
      <c r="AY278" s="619"/>
      <c r="AZ278" s="619"/>
      <c r="BA278" s="619"/>
    </row>
    <row r="279" spans="2:53" s="69" customFormat="1" ht="63">
      <c r="B279" s="660">
        <f t="shared" si="361"/>
        <v>177</v>
      </c>
      <c r="C279" s="185" t="s">
        <v>1035</v>
      </c>
      <c r="D279" s="186" t="s">
        <v>283</v>
      </c>
      <c r="E279" s="660" t="s">
        <v>1068</v>
      </c>
      <c r="F279" s="660">
        <v>9</v>
      </c>
      <c r="G279" s="187">
        <v>5527</v>
      </c>
      <c r="H279" s="687"/>
      <c r="I279" s="187"/>
      <c r="J279" s="687"/>
      <c r="K279" s="187"/>
      <c r="L279" s="187"/>
      <c r="M279" s="687"/>
      <c r="N279" s="187"/>
      <c r="O279" s="687"/>
      <c r="P279" s="187"/>
      <c r="Q279" s="187"/>
      <c r="R279" s="187">
        <f t="shared" si="362"/>
        <v>5527</v>
      </c>
      <c r="S279" s="187">
        <f>0.5+0.5</f>
        <v>1</v>
      </c>
      <c r="T279" s="194"/>
      <c r="U279" s="194"/>
      <c r="V279" s="692"/>
      <c r="W279" s="194"/>
      <c r="X279" s="674">
        <v>37</v>
      </c>
      <c r="Y279" s="688">
        <v>0.3</v>
      </c>
      <c r="Z279" s="187">
        <f t="shared" ref="Z279:Z284" si="367">R279*Y279</f>
        <v>1658.1</v>
      </c>
      <c r="AA279" s="187">
        <f t="shared" si="346"/>
        <v>814.89999999999964</v>
      </c>
      <c r="AB279" s="187">
        <f t="shared" si="363"/>
        <v>8000</v>
      </c>
      <c r="AC279" s="689">
        <f t="shared" si="347"/>
        <v>5500</v>
      </c>
      <c r="AD279" s="689">
        <f t="shared" si="348"/>
        <v>13500</v>
      </c>
      <c r="AE279" s="190">
        <f t="shared" si="349"/>
        <v>13500</v>
      </c>
      <c r="AF279" s="190">
        <f t="shared" si="350"/>
        <v>5500</v>
      </c>
      <c r="AG279" s="689">
        <f t="shared" si="364"/>
        <v>8000</v>
      </c>
      <c r="AH279" s="190">
        <f t="shared" si="365"/>
        <v>814.89999999999964</v>
      </c>
      <c r="AI279" s="191">
        <f t="shared" si="351"/>
        <v>5527</v>
      </c>
      <c r="AJ279" s="191">
        <f t="shared" si="352"/>
        <v>0</v>
      </c>
      <c r="AK279" s="191">
        <f t="shared" si="353"/>
        <v>5527</v>
      </c>
      <c r="AL279" s="191">
        <f t="shared" si="354"/>
        <v>0</v>
      </c>
      <c r="AM279" s="191">
        <f t="shared" si="355"/>
        <v>0</v>
      </c>
      <c r="AN279" s="191">
        <f t="shared" si="355"/>
        <v>0</v>
      </c>
      <c r="AO279" s="193">
        <f t="shared" si="356"/>
        <v>1658.1</v>
      </c>
      <c r="AP279" s="193">
        <f t="shared" si="357"/>
        <v>0</v>
      </c>
      <c r="AQ279" s="193">
        <f t="shared" si="358"/>
        <v>814.89999999999964</v>
      </c>
      <c r="AR279" s="193">
        <f t="shared" si="359"/>
        <v>0</v>
      </c>
      <c r="AS279" s="193">
        <f t="shared" si="360"/>
        <v>0</v>
      </c>
      <c r="AT279" s="197">
        <f t="shared" si="295"/>
        <v>5527</v>
      </c>
      <c r="AU279" s="197">
        <f t="shared" si="295"/>
        <v>0</v>
      </c>
      <c r="AV279" s="191"/>
      <c r="AW279" s="236">
        <f t="shared" si="366"/>
        <v>5527</v>
      </c>
      <c r="AX279" s="236"/>
      <c r="AY279" s="619"/>
      <c r="AZ279" s="619"/>
      <c r="BA279" s="619"/>
    </row>
    <row r="280" spans="2:53" s="69" customFormat="1" ht="63">
      <c r="B280" s="660">
        <f t="shared" si="361"/>
        <v>178</v>
      </c>
      <c r="C280" s="185" t="s">
        <v>1035</v>
      </c>
      <c r="D280" s="186" t="s">
        <v>284</v>
      </c>
      <c r="E280" s="660" t="s">
        <v>1065</v>
      </c>
      <c r="F280" s="660">
        <v>9</v>
      </c>
      <c r="G280" s="187">
        <v>5527</v>
      </c>
      <c r="H280" s="687"/>
      <c r="I280" s="187"/>
      <c r="J280" s="687"/>
      <c r="K280" s="187"/>
      <c r="L280" s="187"/>
      <c r="M280" s="687"/>
      <c r="N280" s="187"/>
      <c r="O280" s="687"/>
      <c r="P280" s="187"/>
      <c r="Q280" s="187"/>
      <c r="R280" s="187">
        <f t="shared" si="362"/>
        <v>5527</v>
      </c>
      <c r="S280" s="187">
        <v>1</v>
      </c>
      <c r="T280" s="187"/>
      <c r="U280" s="187"/>
      <c r="V280" s="687"/>
      <c r="W280" s="187"/>
      <c r="X280" s="674">
        <v>30</v>
      </c>
      <c r="Y280" s="688">
        <v>0.3</v>
      </c>
      <c r="Z280" s="187">
        <f t="shared" si="367"/>
        <v>1658.1</v>
      </c>
      <c r="AA280" s="187">
        <f t="shared" si="346"/>
        <v>814.89999999999964</v>
      </c>
      <c r="AB280" s="187">
        <f t="shared" si="363"/>
        <v>8000</v>
      </c>
      <c r="AC280" s="689">
        <f t="shared" si="347"/>
        <v>5500</v>
      </c>
      <c r="AD280" s="689">
        <f t="shared" si="348"/>
        <v>13500</v>
      </c>
      <c r="AE280" s="190">
        <f t="shared" si="349"/>
        <v>13500</v>
      </c>
      <c r="AF280" s="190">
        <f t="shared" si="350"/>
        <v>5500</v>
      </c>
      <c r="AG280" s="689">
        <f t="shared" si="364"/>
        <v>8000</v>
      </c>
      <c r="AH280" s="190">
        <f t="shared" si="365"/>
        <v>814.89999999999964</v>
      </c>
      <c r="AI280" s="191">
        <f t="shared" si="351"/>
        <v>5527</v>
      </c>
      <c r="AJ280" s="191">
        <f t="shared" si="352"/>
        <v>0</v>
      </c>
      <c r="AK280" s="191">
        <f t="shared" si="353"/>
        <v>5527</v>
      </c>
      <c r="AL280" s="191">
        <f t="shared" si="354"/>
        <v>0</v>
      </c>
      <c r="AM280" s="191">
        <f t="shared" si="355"/>
        <v>0</v>
      </c>
      <c r="AN280" s="191">
        <f t="shared" si="355"/>
        <v>0</v>
      </c>
      <c r="AO280" s="193">
        <f t="shared" si="356"/>
        <v>1658.1</v>
      </c>
      <c r="AP280" s="193">
        <f t="shared" si="357"/>
        <v>0</v>
      </c>
      <c r="AQ280" s="193">
        <f t="shared" si="358"/>
        <v>814.89999999999964</v>
      </c>
      <c r="AR280" s="193">
        <f t="shared" si="359"/>
        <v>0</v>
      </c>
      <c r="AS280" s="193">
        <f t="shared" si="360"/>
        <v>0</v>
      </c>
      <c r="AT280" s="197">
        <f t="shared" si="295"/>
        <v>5527</v>
      </c>
      <c r="AU280" s="197">
        <f t="shared" si="295"/>
        <v>0</v>
      </c>
      <c r="AV280" s="191"/>
      <c r="AW280" s="236">
        <f t="shared" si="366"/>
        <v>5527</v>
      </c>
      <c r="AX280" s="236"/>
      <c r="AY280" s="619"/>
      <c r="AZ280" s="619"/>
      <c r="BA280" s="619"/>
    </row>
    <row r="281" spans="2:53" s="69" customFormat="1" ht="63">
      <c r="B281" s="660">
        <f t="shared" si="361"/>
        <v>179</v>
      </c>
      <c r="C281" s="185" t="s">
        <v>1035</v>
      </c>
      <c r="D281" s="186" t="s">
        <v>285</v>
      </c>
      <c r="E281" s="660" t="s">
        <v>1095</v>
      </c>
      <c r="F281" s="660">
        <v>9</v>
      </c>
      <c r="G281" s="187">
        <v>5527</v>
      </c>
      <c r="H281" s="687"/>
      <c r="I281" s="187"/>
      <c r="J281" s="687"/>
      <c r="K281" s="187"/>
      <c r="L281" s="187"/>
      <c r="M281" s="687"/>
      <c r="N281" s="187"/>
      <c r="O281" s="687"/>
      <c r="P281" s="187"/>
      <c r="Q281" s="187"/>
      <c r="R281" s="187">
        <f t="shared" si="362"/>
        <v>5527</v>
      </c>
      <c r="S281" s="187">
        <v>1</v>
      </c>
      <c r="T281" s="187"/>
      <c r="U281" s="187"/>
      <c r="V281" s="687"/>
      <c r="W281" s="187"/>
      <c r="X281" s="674">
        <v>34</v>
      </c>
      <c r="Y281" s="688">
        <v>0.3</v>
      </c>
      <c r="Z281" s="187">
        <f t="shared" si="367"/>
        <v>1658.1</v>
      </c>
      <c r="AA281" s="187">
        <f t="shared" si="346"/>
        <v>814.89999999999964</v>
      </c>
      <c r="AB281" s="187">
        <f t="shared" si="363"/>
        <v>8000</v>
      </c>
      <c r="AC281" s="689">
        <f t="shared" si="347"/>
        <v>5500</v>
      </c>
      <c r="AD281" s="689">
        <f t="shared" si="348"/>
        <v>13500</v>
      </c>
      <c r="AE281" s="190">
        <f t="shared" si="349"/>
        <v>13500</v>
      </c>
      <c r="AF281" s="190">
        <f t="shared" si="350"/>
        <v>5500</v>
      </c>
      <c r="AG281" s="689">
        <f t="shared" si="364"/>
        <v>8000</v>
      </c>
      <c r="AH281" s="190">
        <f t="shared" si="365"/>
        <v>814.89999999999964</v>
      </c>
      <c r="AI281" s="191">
        <f t="shared" si="351"/>
        <v>5527</v>
      </c>
      <c r="AJ281" s="191">
        <f t="shared" si="352"/>
        <v>0</v>
      </c>
      <c r="AK281" s="191">
        <f t="shared" si="353"/>
        <v>5527</v>
      </c>
      <c r="AL281" s="191">
        <f t="shared" si="354"/>
        <v>0</v>
      </c>
      <c r="AM281" s="191">
        <f t="shared" si="355"/>
        <v>0</v>
      </c>
      <c r="AN281" s="191">
        <f t="shared" si="355"/>
        <v>0</v>
      </c>
      <c r="AO281" s="193">
        <f t="shared" si="356"/>
        <v>1658.1</v>
      </c>
      <c r="AP281" s="193">
        <f t="shared" si="357"/>
        <v>0</v>
      </c>
      <c r="AQ281" s="193">
        <f t="shared" si="358"/>
        <v>814.89999999999964</v>
      </c>
      <c r="AR281" s="193">
        <f t="shared" si="359"/>
        <v>0</v>
      </c>
      <c r="AS281" s="193">
        <f t="shared" si="360"/>
        <v>0</v>
      </c>
      <c r="AT281" s="197">
        <f t="shared" si="295"/>
        <v>5527</v>
      </c>
      <c r="AU281" s="197">
        <f t="shared" si="295"/>
        <v>0</v>
      </c>
      <c r="AV281" s="191"/>
      <c r="AW281" s="236">
        <f t="shared" si="366"/>
        <v>5527</v>
      </c>
      <c r="AX281" s="236"/>
      <c r="AY281" s="619"/>
      <c r="AZ281" s="619"/>
      <c r="BA281" s="619"/>
    </row>
    <row r="282" spans="2:53" s="69" customFormat="1" ht="63">
      <c r="B282" s="660">
        <f t="shared" si="361"/>
        <v>180</v>
      </c>
      <c r="C282" s="185" t="s">
        <v>1035</v>
      </c>
      <c r="D282" s="186" t="s">
        <v>1298</v>
      </c>
      <c r="E282" s="660" t="s">
        <v>1069</v>
      </c>
      <c r="F282" s="660">
        <v>9</v>
      </c>
      <c r="G282" s="187">
        <v>5527</v>
      </c>
      <c r="H282" s="687"/>
      <c r="I282" s="187"/>
      <c r="J282" s="687"/>
      <c r="K282" s="187"/>
      <c r="L282" s="187"/>
      <c r="M282" s="687"/>
      <c r="N282" s="187"/>
      <c r="O282" s="687"/>
      <c r="P282" s="187"/>
      <c r="Q282" s="187"/>
      <c r="R282" s="187">
        <f t="shared" si="362"/>
        <v>5527</v>
      </c>
      <c r="S282" s="187">
        <v>1</v>
      </c>
      <c r="T282" s="187"/>
      <c r="U282" s="187"/>
      <c r="V282" s="687"/>
      <c r="W282" s="187"/>
      <c r="X282" s="674">
        <v>33</v>
      </c>
      <c r="Y282" s="688">
        <v>0.3</v>
      </c>
      <c r="Z282" s="187">
        <f t="shared" si="367"/>
        <v>1658.1</v>
      </c>
      <c r="AA282" s="187">
        <f t="shared" si="346"/>
        <v>814.89999999999964</v>
      </c>
      <c r="AB282" s="187">
        <f t="shared" si="363"/>
        <v>8000</v>
      </c>
      <c r="AC282" s="689">
        <f t="shared" si="347"/>
        <v>5500</v>
      </c>
      <c r="AD282" s="689">
        <f t="shared" si="348"/>
        <v>13500</v>
      </c>
      <c r="AE282" s="190">
        <f t="shared" si="349"/>
        <v>13500</v>
      </c>
      <c r="AF282" s="190">
        <f t="shared" si="350"/>
        <v>5500</v>
      </c>
      <c r="AG282" s="689">
        <f t="shared" si="364"/>
        <v>8000</v>
      </c>
      <c r="AH282" s="190">
        <f t="shared" si="365"/>
        <v>814.89999999999964</v>
      </c>
      <c r="AI282" s="191">
        <f t="shared" si="351"/>
        <v>5527</v>
      </c>
      <c r="AJ282" s="191">
        <f t="shared" si="352"/>
        <v>0</v>
      </c>
      <c r="AK282" s="191">
        <f t="shared" si="353"/>
        <v>5527</v>
      </c>
      <c r="AL282" s="191">
        <f t="shared" si="354"/>
        <v>0</v>
      </c>
      <c r="AM282" s="191">
        <f t="shared" si="355"/>
        <v>0</v>
      </c>
      <c r="AN282" s="191">
        <f t="shared" si="355"/>
        <v>0</v>
      </c>
      <c r="AO282" s="193">
        <f t="shared" si="356"/>
        <v>1658.1</v>
      </c>
      <c r="AP282" s="193">
        <f t="shared" si="357"/>
        <v>0</v>
      </c>
      <c r="AQ282" s="193">
        <f t="shared" si="358"/>
        <v>814.89999999999964</v>
      </c>
      <c r="AR282" s="193">
        <f t="shared" si="359"/>
        <v>0</v>
      </c>
      <c r="AS282" s="193">
        <f t="shared" si="360"/>
        <v>0</v>
      </c>
      <c r="AT282" s="197">
        <f t="shared" si="295"/>
        <v>5527</v>
      </c>
      <c r="AU282" s="197">
        <f t="shared" si="295"/>
        <v>0</v>
      </c>
      <c r="AV282" s="191"/>
      <c r="AW282" s="236">
        <f t="shared" si="366"/>
        <v>5527</v>
      </c>
      <c r="AX282" s="236"/>
      <c r="AY282" s="619"/>
      <c r="AZ282" s="619"/>
      <c r="BA282" s="619"/>
    </row>
    <row r="283" spans="2:53" s="69" customFormat="1" ht="63">
      <c r="B283" s="660">
        <f t="shared" si="361"/>
        <v>181</v>
      </c>
      <c r="C283" s="185" t="s">
        <v>286</v>
      </c>
      <c r="D283" s="186" t="s">
        <v>1674</v>
      </c>
      <c r="E283" s="660" t="s">
        <v>1667</v>
      </c>
      <c r="F283" s="660">
        <v>6</v>
      </c>
      <c r="G283" s="187">
        <v>4633</v>
      </c>
      <c r="H283" s="687"/>
      <c r="I283" s="187"/>
      <c r="J283" s="687"/>
      <c r="K283" s="187"/>
      <c r="L283" s="187"/>
      <c r="M283" s="687"/>
      <c r="N283" s="187"/>
      <c r="O283" s="687"/>
      <c r="P283" s="187"/>
      <c r="Q283" s="187"/>
      <c r="R283" s="187">
        <f t="shared" si="362"/>
        <v>4633</v>
      </c>
      <c r="S283" s="187">
        <v>1</v>
      </c>
      <c r="T283" s="187"/>
      <c r="U283" s="187"/>
      <c r="V283" s="687"/>
      <c r="W283" s="187"/>
      <c r="X283" s="674">
        <v>0</v>
      </c>
      <c r="Y283" s="688">
        <v>0</v>
      </c>
      <c r="Z283" s="187">
        <f>R283*Y283</f>
        <v>0</v>
      </c>
      <c r="AA283" s="187">
        <f>AH283</f>
        <v>3367</v>
      </c>
      <c r="AB283" s="187">
        <f>(R283+Z283)*S283+AA283</f>
        <v>8000</v>
      </c>
      <c r="AC283" s="689">
        <f t="shared" si="347"/>
        <v>5500</v>
      </c>
      <c r="AD283" s="689">
        <f t="shared" si="348"/>
        <v>13500</v>
      </c>
      <c r="AE283" s="190">
        <f t="shared" si="349"/>
        <v>13500</v>
      </c>
      <c r="AF283" s="190">
        <f t="shared" si="350"/>
        <v>5500</v>
      </c>
      <c r="AG283" s="689">
        <f t="shared" si="364"/>
        <v>8000</v>
      </c>
      <c r="AH283" s="190">
        <f>AG283-(R283+Z283)*S283</f>
        <v>3367</v>
      </c>
      <c r="AI283" s="191"/>
      <c r="AJ283" s="191">
        <f t="shared" si="352"/>
        <v>0</v>
      </c>
      <c r="AK283" s="191"/>
      <c r="AL283" s="191">
        <f t="shared" si="354"/>
        <v>0</v>
      </c>
      <c r="AM283" s="191"/>
      <c r="AN283" s="191">
        <f t="shared" si="355"/>
        <v>0</v>
      </c>
      <c r="AO283" s="193"/>
      <c r="AP283" s="193"/>
      <c r="AQ283" s="193"/>
      <c r="AR283" s="193"/>
      <c r="AS283" s="193"/>
      <c r="AT283" s="197"/>
      <c r="AU283" s="197">
        <f t="shared" si="295"/>
        <v>0</v>
      </c>
      <c r="AV283" s="191"/>
      <c r="AW283" s="236">
        <f t="shared" si="366"/>
        <v>4633</v>
      </c>
      <c r="AX283" s="236"/>
      <c r="AY283" s="619"/>
      <c r="AZ283" s="619"/>
      <c r="BA283" s="619"/>
    </row>
    <row r="284" spans="2:53" s="69" customFormat="1" ht="94.5">
      <c r="B284" s="660">
        <f>B283+1</f>
        <v>182</v>
      </c>
      <c r="C284" s="185" t="s">
        <v>1097</v>
      </c>
      <c r="D284" s="186" t="s">
        <v>287</v>
      </c>
      <c r="E284" s="660" t="s">
        <v>1098</v>
      </c>
      <c r="F284" s="660">
        <v>10</v>
      </c>
      <c r="G284" s="187">
        <v>5815</v>
      </c>
      <c r="H284" s="687"/>
      <c r="I284" s="187"/>
      <c r="J284" s="687"/>
      <c r="K284" s="187"/>
      <c r="L284" s="187"/>
      <c r="M284" s="687"/>
      <c r="N284" s="187"/>
      <c r="O284" s="687"/>
      <c r="P284" s="187"/>
      <c r="Q284" s="187"/>
      <c r="R284" s="187">
        <f t="shared" si="362"/>
        <v>5815</v>
      </c>
      <c r="S284" s="187">
        <v>1</v>
      </c>
      <c r="T284" s="187"/>
      <c r="U284" s="187"/>
      <c r="V284" s="687"/>
      <c r="W284" s="187"/>
      <c r="X284" s="674">
        <v>40</v>
      </c>
      <c r="Y284" s="688">
        <v>0.3</v>
      </c>
      <c r="Z284" s="187">
        <f t="shared" si="367"/>
        <v>1744.5</v>
      </c>
      <c r="AA284" s="187">
        <f>AH284</f>
        <v>440.5</v>
      </c>
      <c r="AB284" s="187">
        <f t="shared" si="363"/>
        <v>8000</v>
      </c>
      <c r="AC284" s="689">
        <f t="shared" si="347"/>
        <v>5500</v>
      </c>
      <c r="AD284" s="689">
        <f t="shared" si="348"/>
        <v>13500</v>
      </c>
      <c r="AE284" s="190">
        <f t="shared" si="349"/>
        <v>13500</v>
      </c>
      <c r="AF284" s="190">
        <f t="shared" si="350"/>
        <v>5500</v>
      </c>
      <c r="AG284" s="689">
        <f t="shared" si="364"/>
        <v>8000</v>
      </c>
      <c r="AH284" s="190">
        <f t="shared" si="365"/>
        <v>440.5</v>
      </c>
      <c r="AI284" s="191">
        <f t="shared" si="351"/>
        <v>5815</v>
      </c>
      <c r="AJ284" s="191">
        <f t="shared" si="352"/>
        <v>0</v>
      </c>
      <c r="AK284" s="191">
        <f t="shared" si="353"/>
        <v>5815</v>
      </c>
      <c r="AL284" s="191">
        <f t="shared" si="354"/>
        <v>0</v>
      </c>
      <c r="AM284" s="191">
        <f t="shared" si="355"/>
        <v>0</v>
      </c>
      <c r="AN284" s="191">
        <f t="shared" si="355"/>
        <v>0</v>
      </c>
      <c r="AO284" s="193">
        <f t="shared" si="356"/>
        <v>1744.5</v>
      </c>
      <c r="AP284" s="193">
        <f t="shared" si="357"/>
        <v>0</v>
      </c>
      <c r="AQ284" s="193">
        <f t="shared" si="358"/>
        <v>440.5</v>
      </c>
      <c r="AR284" s="193">
        <f t="shared" si="359"/>
        <v>0</v>
      </c>
      <c r="AS284" s="193">
        <f t="shared" si="360"/>
        <v>0</v>
      </c>
      <c r="AT284" s="197">
        <f t="shared" si="295"/>
        <v>5815</v>
      </c>
      <c r="AU284" s="197">
        <f t="shared" si="295"/>
        <v>0</v>
      </c>
      <c r="AV284" s="191"/>
      <c r="AW284" s="236">
        <f t="shared" si="366"/>
        <v>5815</v>
      </c>
      <c r="AX284" s="236"/>
      <c r="AY284" s="619"/>
      <c r="AZ284" s="619"/>
      <c r="BA284" s="619"/>
    </row>
    <row r="285" spans="2:53" s="69" customFormat="1" ht="31.5">
      <c r="B285" s="660"/>
      <c r="C285" s="168" t="s">
        <v>1662</v>
      </c>
      <c r="D285" s="195"/>
      <c r="E285" s="181"/>
      <c r="F285" s="181"/>
      <c r="G285" s="171">
        <f>SUM(G277:G284)</f>
        <v>43610</v>
      </c>
      <c r="H285" s="703"/>
      <c r="I285" s="171">
        <f>SUM(I277:I284)</f>
        <v>552.70000000000005</v>
      </c>
      <c r="J285" s="682"/>
      <c r="K285" s="181"/>
      <c r="L285" s="181"/>
      <c r="M285" s="682"/>
      <c r="N285" s="181"/>
      <c r="O285" s="682"/>
      <c r="P285" s="181"/>
      <c r="Q285" s="181"/>
      <c r="R285" s="171">
        <f>SUM(R277:R284)</f>
        <v>44162.7</v>
      </c>
      <c r="S285" s="171">
        <f>SUM(S277:S284)</f>
        <v>8</v>
      </c>
      <c r="T285" s="171">
        <f>SUM(T277:T284)</f>
        <v>0</v>
      </c>
      <c r="U285" s="171"/>
      <c r="V285" s="693"/>
      <c r="W285" s="171"/>
      <c r="X285" s="693"/>
      <c r="Y285" s="693"/>
      <c r="Z285" s="171">
        <f>SUM(Z277:Z284)</f>
        <v>11858.91</v>
      </c>
      <c r="AA285" s="171">
        <f t="shared" ref="AA285:AV285" si="368">SUM(AA277:AA284)</f>
        <v>7978.3899999999985</v>
      </c>
      <c r="AB285" s="171">
        <f>SUM(AB277:AB284)</f>
        <v>64000</v>
      </c>
      <c r="AC285" s="171">
        <f>SUM(AC277:AC284)</f>
        <v>44000</v>
      </c>
      <c r="AD285" s="171">
        <f>SUM(AD277:AD284)</f>
        <v>108000</v>
      </c>
      <c r="AE285" s="171">
        <f t="shared" si="368"/>
        <v>108000</v>
      </c>
      <c r="AF285" s="171">
        <f t="shared" si="368"/>
        <v>44000</v>
      </c>
      <c r="AG285" s="171">
        <f t="shared" si="368"/>
        <v>64000</v>
      </c>
      <c r="AH285" s="171">
        <f t="shared" si="368"/>
        <v>7978.3899999999985</v>
      </c>
      <c r="AI285" s="171">
        <f t="shared" si="368"/>
        <v>38977</v>
      </c>
      <c r="AJ285" s="171">
        <f t="shared" si="368"/>
        <v>0</v>
      </c>
      <c r="AK285" s="171">
        <f t="shared" si="368"/>
        <v>39529.699999999997</v>
      </c>
      <c r="AL285" s="171">
        <f t="shared" si="368"/>
        <v>0</v>
      </c>
      <c r="AM285" s="171">
        <f t="shared" si="368"/>
        <v>552.69999999999982</v>
      </c>
      <c r="AN285" s="171">
        <f t="shared" si="368"/>
        <v>0</v>
      </c>
      <c r="AO285" s="171">
        <f t="shared" si="368"/>
        <v>11858.91</v>
      </c>
      <c r="AP285" s="171">
        <f t="shared" si="368"/>
        <v>0</v>
      </c>
      <c r="AQ285" s="171">
        <f t="shared" si="368"/>
        <v>4611.3899999999985</v>
      </c>
      <c r="AR285" s="171">
        <f t="shared" si="368"/>
        <v>0</v>
      </c>
      <c r="AS285" s="171">
        <f t="shared" si="368"/>
        <v>0</v>
      </c>
      <c r="AT285" s="171">
        <f t="shared" si="368"/>
        <v>39529.699999999997</v>
      </c>
      <c r="AU285" s="171">
        <f t="shared" si="368"/>
        <v>0</v>
      </c>
      <c r="AV285" s="171">
        <f t="shared" si="368"/>
        <v>0</v>
      </c>
      <c r="AW285" s="171">
        <f>SUM(AW277:AW284)</f>
        <v>44162.7</v>
      </c>
      <c r="AX285" s="171">
        <f>SUM(AX277:AX284)</f>
        <v>0</v>
      </c>
      <c r="AY285" s="619"/>
      <c r="AZ285" s="619"/>
      <c r="BA285" s="619"/>
    </row>
    <row r="286" spans="2:53" s="69" customFormat="1" ht="33">
      <c r="B286" s="660"/>
      <c r="C286" s="179" t="s">
        <v>1109</v>
      </c>
      <c r="D286" s="180"/>
      <c r="E286" s="181"/>
      <c r="F286" s="181"/>
      <c r="G286" s="181"/>
      <c r="H286" s="682"/>
      <c r="I286" s="181"/>
      <c r="J286" s="682"/>
      <c r="K286" s="181"/>
      <c r="L286" s="181"/>
      <c r="M286" s="682"/>
      <c r="N286" s="181"/>
      <c r="O286" s="682"/>
      <c r="P286" s="181"/>
      <c r="Q286" s="181"/>
      <c r="R286" s="181"/>
      <c r="S286" s="181"/>
      <c r="T286" s="181"/>
      <c r="U286" s="181"/>
      <c r="V286" s="683"/>
      <c r="W286" s="181"/>
      <c r="X286" s="683"/>
      <c r="Y286" s="683"/>
      <c r="Z286" s="181"/>
      <c r="AA286" s="181"/>
      <c r="AB286" s="181"/>
      <c r="AC286" s="183"/>
      <c r="AD286" s="183"/>
      <c r="AE286" s="183"/>
      <c r="AF286" s="183"/>
      <c r="AG286" s="183"/>
      <c r="AH286" s="183"/>
      <c r="AI286" s="191"/>
      <c r="AJ286" s="191"/>
      <c r="AK286" s="191"/>
      <c r="AL286" s="191"/>
      <c r="AM286" s="191"/>
      <c r="AN286" s="191"/>
      <c r="AO286" s="193"/>
      <c r="AP286" s="193"/>
      <c r="AQ286" s="193"/>
      <c r="AR286" s="193"/>
      <c r="AS286" s="193"/>
      <c r="AT286" s="197"/>
      <c r="AU286" s="197"/>
      <c r="AV286" s="191"/>
      <c r="AW286" s="236"/>
      <c r="AX286" s="236"/>
      <c r="AY286" s="619"/>
      <c r="AZ286" s="619"/>
      <c r="BA286" s="619"/>
    </row>
    <row r="287" spans="2:53" s="69" customFormat="1" ht="33">
      <c r="B287" s="660"/>
      <c r="C287" s="867"/>
      <c r="D287" s="862"/>
      <c r="E287" s="866"/>
      <c r="F287" s="660"/>
      <c r="G287" s="187"/>
      <c r="H287" s="687"/>
      <c r="I287" s="187"/>
      <c r="J287" s="687"/>
      <c r="K287" s="187"/>
      <c r="L287" s="187"/>
      <c r="M287" s="687"/>
      <c r="N287" s="187"/>
      <c r="O287" s="687"/>
      <c r="P287" s="187"/>
      <c r="Q287" s="187"/>
      <c r="R287" s="187">
        <f>G287+I287+K287+L287+N287+P287+Q287</f>
        <v>0</v>
      </c>
      <c r="S287" s="187"/>
      <c r="T287" s="187"/>
      <c r="U287" s="187"/>
      <c r="V287" s="687"/>
      <c r="W287" s="187"/>
      <c r="X287" s="674"/>
      <c r="Y287" s="688"/>
      <c r="Z287" s="187">
        <f>R287*Y287</f>
        <v>0</v>
      </c>
      <c r="AA287" s="187">
        <f>AH287</f>
        <v>0</v>
      </c>
      <c r="AB287" s="187">
        <f>(R287+Z287)*S287+AA287</f>
        <v>0</v>
      </c>
      <c r="AC287" s="689">
        <f>AF287</f>
        <v>0</v>
      </c>
      <c r="AD287" s="689">
        <f>AB287+AC287</f>
        <v>0</v>
      </c>
      <c r="AE287" s="190">
        <f>13500*S287</f>
        <v>0</v>
      </c>
      <c r="AF287" s="190">
        <f>AE287-AB287</f>
        <v>0</v>
      </c>
      <c r="AG287" s="689">
        <f>8000*S287</f>
        <v>0</v>
      </c>
      <c r="AH287" s="190">
        <f>AG287-(R287+Z287)*S287</f>
        <v>0</v>
      </c>
      <c r="AI287" s="191">
        <f>G287*S287</f>
        <v>0</v>
      </c>
      <c r="AJ287" s="191">
        <f>G287*T287</f>
        <v>0</v>
      </c>
      <c r="AK287" s="191">
        <f>R287*S287</f>
        <v>0</v>
      </c>
      <c r="AL287" s="191">
        <f>R287*T287</f>
        <v>0</v>
      </c>
      <c r="AM287" s="191">
        <f t="shared" ref="AM287:AN291" si="369">AK287-AI287</f>
        <v>0</v>
      </c>
      <c r="AN287" s="191">
        <f t="shared" si="369"/>
        <v>0</v>
      </c>
      <c r="AO287" s="193">
        <f>Z287*S287</f>
        <v>0</v>
      </c>
      <c r="AP287" s="193">
        <f>Z287*T287</f>
        <v>0</v>
      </c>
      <c r="AQ287" s="193">
        <f>AA287</f>
        <v>0</v>
      </c>
      <c r="AR287" s="193">
        <f>W287*S287</f>
        <v>0</v>
      </c>
      <c r="AS287" s="193">
        <f>W287*T287</f>
        <v>0</v>
      </c>
      <c r="AT287" s="197">
        <f t="shared" si="295"/>
        <v>0</v>
      </c>
      <c r="AU287" s="197">
        <f t="shared" si="295"/>
        <v>0</v>
      </c>
      <c r="AV287" s="191"/>
      <c r="AW287" s="236">
        <f>R287*S287</f>
        <v>0</v>
      </c>
      <c r="AX287" s="236"/>
      <c r="AY287" s="619"/>
      <c r="AZ287" s="619"/>
      <c r="BA287" s="619"/>
    </row>
    <row r="288" spans="2:53" s="69" customFormat="1" ht="87.75">
      <c r="B288" s="660">
        <f>B284+1</f>
        <v>183</v>
      </c>
      <c r="C288" s="185" t="s">
        <v>1110</v>
      </c>
      <c r="D288" s="186" t="s">
        <v>288</v>
      </c>
      <c r="E288" s="660" t="s">
        <v>1112</v>
      </c>
      <c r="F288" s="660">
        <v>10</v>
      </c>
      <c r="G288" s="187">
        <v>5815</v>
      </c>
      <c r="H288" s="687"/>
      <c r="I288" s="187"/>
      <c r="J288" s="687"/>
      <c r="K288" s="187"/>
      <c r="L288" s="187"/>
      <c r="M288" s="687"/>
      <c r="N288" s="187"/>
      <c r="O288" s="687"/>
      <c r="P288" s="187"/>
      <c r="Q288" s="187"/>
      <c r="R288" s="187">
        <f>G288+I288+K288+L288+N288+P288+Q288</f>
        <v>5815</v>
      </c>
      <c r="S288" s="187">
        <v>1</v>
      </c>
      <c r="T288" s="187"/>
      <c r="U288" s="187"/>
      <c r="V288" s="687"/>
      <c r="W288" s="187"/>
      <c r="X288" s="674">
        <v>38</v>
      </c>
      <c r="Y288" s="688">
        <v>0.3</v>
      </c>
      <c r="Z288" s="187">
        <f>R288*Y288</f>
        <v>1744.5</v>
      </c>
      <c r="AA288" s="187">
        <f>AH288</f>
        <v>440.5</v>
      </c>
      <c r="AB288" s="187">
        <f>(R288+Z288)*S288+AA288</f>
        <v>8000</v>
      </c>
      <c r="AC288" s="689">
        <f>AF288</f>
        <v>5500</v>
      </c>
      <c r="AD288" s="689">
        <f>AB288+AC288</f>
        <v>13500</v>
      </c>
      <c r="AE288" s="190">
        <f>13500*S288</f>
        <v>13500</v>
      </c>
      <c r="AF288" s="190">
        <f>AE288-AB288</f>
        <v>5500</v>
      </c>
      <c r="AG288" s="689">
        <f>8000*S288</f>
        <v>8000</v>
      </c>
      <c r="AH288" s="190">
        <f>AG288-(R288+Z288)*S288</f>
        <v>440.5</v>
      </c>
      <c r="AI288" s="191">
        <f>G288*S288</f>
        <v>5815</v>
      </c>
      <c r="AJ288" s="191">
        <f>G288*T288</f>
        <v>0</v>
      </c>
      <c r="AK288" s="191">
        <f>R288*S288</f>
        <v>5815</v>
      </c>
      <c r="AL288" s="191">
        <f>R288*T288</f>
        <v>0</v>
      </c>
      <c r="AM288" s="191">
        <f t="shared" si="369"/>
        <v>0</v>
      </c>
      <c r="AN288" s="191">
        <f t="shared" si="369"/>
        <v>0</v>
      </c>
      <c r="AO288" s="193">
        <f>Z288*S288</f>
        <v>1744.5</v>
      </c>
      <c r="AP288" s="193">
        <f>Z288*T288</f>
        <v>0</v>
      </c>
      <c r="AQ288" s="193">
        <f>AA288</f>
        <v>440.5</v>
      </c>
      <c r="AR288" s="193">
        <f>W288*S288</f>
        <v>0</v>
      </c>
      <c r="AS288" s="193">
        <f>W288*T288</f>
        <v>0</v>
      </c>
      <c r="AT288" s="197">
        <f t="shared" si="295"/>
        <v>5815</v>
      </c>
      <c r="AU288" s="197">
        <f t="shared" si="295"/>
        <v>0</v>
      </c>
      <c r="AV288" s="191"/>
      <c r="AW288" s="236">
        <f>R288*S288</f>
        <v>5815</v>
      </c>
      <c r="AX288" s="236"/>
      <c r="AY288" s="619"/>
      <c r="AZ288" s="619"/>
      <c r="BA288" s="619"/>
    </row>
    <row r="289" spans="2:53" s="69" customFormat="1" ht="63">
      <c r="B289" s="660">
        <f>1+B288</f>
        <v>184</v>
      </c>
      <c r="C289" s="185" t="s">
        <v>1110</v>
      </c>
      <c r="D289" s="186" t="s">
        <v>289</v>
      </c>
      <c r="E289" s="660" t="s">
        <v>1111</v>
      </c>
      <c r="F289" s="660">
        <v>10</v>
      </c>
      <c r="G289" s="187">
        <v>5815</v>
      </c>
      <c r="H289" s="687"/>
      <c r="I289" s="187"/>
      <c r="J289" s="687"/>
      <c r="K289" s="187"/>
      <c r="L289" s="187"/>
      <c r="M289" s="687"/>
      <c r="N289" s="187"/>
      <c r="O289" s="687"/>
      <c r="P289" s="187"/>
      <c r="Q289" s="194"/>
      <c r="R289" s="187">
        <f>G289+I289+K289+L289+N289+P289+Q289</f>
        <v>5815</v>
      </c>
      <c r="S289" s="187">
        <v>1</v>
      </c>
      <c r="T289" s="187"/>
      <c r="U289" s="194"/>
      <c r="V289" s="692"/>
      <c r="W289" s="194"/>
      <c r="X289" s="674">
        <v>32</v>
      </c>
      <c r="Y289" s="688">
        <v>0.3</v>
      </c>
      <c r="Z289" s="187">
        <f>R289*Y289</f>
        <v>1744.5</v>
      </c>
      <c r="AA289" s="187">
        <f>AH289</f>
        <v>440.5</v>
      </c>
      <c r="AB289" s="187">
        <f>(R289+Z289)*S289+AA289</f>
        <v>8000</v>
      </c>
      <c r="AC289" s="689">
        <f>AF289</f>
        <v>5500</v>
      </c>
      <c r="AD289" s="689">
        <f>AB289+AC289</f>
        <v>13500</v>
      </c>
      <c r="AE289" s="190">
        <f>13500*S289</f>
        <v>13500</v>
      </c>
      <c r="AF289" s="190">
        <f>AE289-AB289</f>
        <v>5500</v>
      </c>
      <c r="AG289" s="689">
        <f>8000*S289</f>
        <v>8000</v>
      </c>
      <c r="AH289" s="190">
        <f>AG289-(R289+Z289)*S289</f>
        <v>440.5</v>
      </c>
      <c r="AI289" s="191">
        <f>G289*S289</f>
        <v>5815</v>
      </c>
      <c r="AJ289" s="191">
        <f>G289*T289</f>
        <v>0</v>
      </c>
      <c r="AK289" s="191">
        <f>R289*S289</f>
        <v>5815</v>
      </c>
      <c r="AL289" s="191">
        <f>R289*T289</f>
        <v>0</v>
      </c>
      <c r="AM289" s="191">
        <f t="shared" si="369"/>
        <v>0</v>
      </c>
      <c r="AN289" s="191">
        <f t="shared" si="369"/>
        <v>0</v>
      </c>
      <c r="AO289" s="193">
        <f>Z289*S289</f>
        <v>1744.5</v>
      </c>
      <c r="AP289" s="193">
        <f>Z289*T289</f>
        <v>0</v>
      </c>
      <c r="AQ289" s="193">
        <f>AA289</f>
        <v>440.5</v>
      </c>
      <c r="AR289" s="193">
        <f>W289*S289</f>
        <v>0</v>
      </c>
      <c r="AS289" s="193">
        <f>W289*T289</f>
        <v>0</v>
      </c>
      <c r="AT289" s="197">
        <f t="shared" si="295"/>
        <v>5815</v>
      </c>
      <c r="AU289" s="197">
        <f t="shared" si="295"/>
        <v>0</v>
      </c>
      <c r="AV289" s="191"/>
      <c r="AW289" s="236">
        <f>R289*S289</f>
        <v>5815</v>
      </c>
      <c r="AX289" s="236"/>
      <c r="AY289" s="619"/>
      <c r="AZ289" s="619"/>
      <c r="BA289" s="619"/>
    </row>
    <row r="290" spans="2:53" s="69" customFormat="1" ht="63">
      <c r="B290" s="660">
        <f>B289+1</f>
        <v>185</v>
      </c>
      <c r="C290" s="185" t="s">
        <v>1110</v>
      </c>
      <c r="D290" s="186" t="s">
        <v>1674</v>
      </c>
      <c r="E290" s="884" t="s">
        <v>290</v>
      </c>
      <c r="F290" s="660">
        <v>7</v>
      </c>
      <c r="G290" s="187">
        <v>4920</v>
      </c>
      <c r="H290" s="687"/>
      <c r="I290" s="187"/>
      <c r="J290" s="687"/>
      <c r="K290" s="187"/>
      <c r="L290" s="187"/>
      <c r="M290" s="687"/>
      <c r="N290" s="187"/>
      <c r="O290" s="687"/>
      <c r="P290" s="187"/>
      <c r="Q290" s="194"/>
      <c r="R290" s="187">
        <f>G290+I290+K290+L290+N290+P290+Q290</f>
        <v>4920</v>
      </c>
      <c r="S290" s="187">
        <v>1</v>
      </c>
      <c r="T290" s="187"/>
      <c r="U290" s="194"/>
      <c r="V290" s="692"/>
      <c r="W290" s="194"/>
      <c r="X290" s="674"/>
      <c r="Y290" s="688"/>
      <c r="Z290" s="187">
        <f>R290*Y290</f>
        <v>0</v>
      </c>
      <c r="AA290" s="187">
        <f>AH290</f>
        <v>3080</v>
      </c>
      <c r="AB290" s="187">
        <f>(R290+Z290)*S290+AA290</f>
        <v>8000</v>
      </c>
      <c r="AC290" s="689">
        <f>AF290</f>
        <v>5500</v>
      </c>
      <c r="AD290" s="689">
        <f>AB290+AC290</f>
        <v>13500</v>
      </c>
      <c r="AE290" s="190">
        <f>13500*S290</f>
        <v>13500</v>
      </c>
      <c r="AF290" s="190">
        <f>AE290-AB290</f>
        <v>5500</v>
      </c>
      <c r="AG290" s="689">
        <f>8000*S290</f>
        <v>8000</v>
      </c>
      <c r="AH290" s="190">
        <f>AG290-(R290+Z290)*S290</f>
        <v>3080</v>
      </c>
      <c r="AI290" s="191"/>
      <c r="AJ290" s="191"/>
      <c r="AK290" s="191"/>
      <c r="AL290" s="191"/>
      <c r="AM290" s="191"/>
      <c r="AN290" s="191"/>
      <c r="AO290" s="193"/>
      <c r="AP290" s="193"/>
      <c r="AQ290" s="193"/>
      <c r="AR290" s="193"/>
      <c r="AS290" s="193"/>
      <c r="AT290" s="197"/>
      <c r="AU290" s="197"/>
      <c r="AV290" s="191"/>
      <c r="AW290" s="236">
        <f>R290*S290</f>
        <v>4920</v>
      </c>
      <c r="AX290" s="236"/>
      <c r="AY290" s="619"/>
      <c r="AZ290" s="619"/>
      <c r="BA290" s="619"/>
    </row>
    <row r="291" spans="2:53" s="69" customFormat="1" ht="63">
      <c r="B291" s="660">
        <f>B290+1</f>
        <v>186</v>
      </c>
      <c r="C291" s="185" t="s">
        <v>1110</v>
      </c>
      <c r="D291" s="854" t="s">
        <v>1722</v>
      </c>
      <c r="E291" s="660" t="s">
        <v>1113</v>
      </c>
      <c r="F291" s="660">
        <v>10</v>
      </c>
      <c r="G291" s="187">
        <v>5815</v>
      </c>
      <c r="H291" s="687"/>
      <c r="I291" s="187"/>
      <c r="J291" s="688"/>
      <c r="K291" s="189"/>
      <c r="L291" s="189"/>
      <c r="M291" s="687"/>
      <c r="N291" s="187"/>
      <c r="O291" s="687"/>
      <c r="P291" s="187"/>
      <c r="Q291" s="194"/>
      <c r="R291" s="187">
        <f>G291+I291+K291+L291+N291+P291+Q291</f>
        <v>5815</v>
      </c>
      <c r="S291" s="187">
        <v>1</v>
      </c>
      <c r="T291" s="187"/>
      <c r="U291" s="194"/>
      <c r="V291" s="692"/>
      <c r="W291" s="194"/>
      <c r="X291" s="674">
        <v>28</v>
      </c>
      <c r="Y291" s="688">
        <v>0.3</v>
      </c>
      <c r="Z291" s="187">
        <f>R291*Y291</f>
        <v>1744.5</v>
      </c>
      <c r="AA291" s="187">
        <f>AH291</f>
        <v>440.5</v>
      </c>
      <c r="AB291" s="187">
        <f>(R291+Z291)*S291+AA291</f>
        <v>8000</v>
      </c>
      <c r="AC291" s="689">
        <f>AF291</f>
        <v>5500</v>
      </c>
      <c r="AD291" s="689">
        <f>AB291+AC291</f>
        <v>13500</v>
      </c>
      <c r="AE291" s="190">
        <f>13500*S291</f>
        <v>13500</v>
      </c>
      <c r="AF291" s="190">
        <f>AE291-AB291</f>
        <v>5500</v>
      </c>
      <c r="AG291" s="689">
        <f>8000*S291</f>
        <v>8000</v>
      </c>
      <c r="AH291" s="190">
        <f>AG291-(R291+Z291)*S291</f>
        <v>440.5</v>
      </c>
      <c r="AI291" s="191">
        <f>G291*S291</f>
        <v>5815</v>
      </c>
      <c r="AJ291" s="191">
        <f>G291*T291</f>
        <v>0</v>
      </c>
      <c r="AK291" s="191">
        <f>R291*S291</f>
        <v>5815</v>
      </c>
      <c r="AL291" s="191">
        <f>R291*T291</f>
        <v>0</v>
      </c>
      <c r="AM291" s="191">
        <f t="shared" si="369"/>
        <v>0</v>
      </c>
      <c r="AN291" s="191">
        <f t="shared" si="369"/>
        <v>0</v>
      </c>
      <c r="AO291" s="193">
        <f>Z291*S291</f>
        <v>1744.5</v>
      </c>
      <c r="AP291" s="193">
        <f>Z291*T291</f>
        <v>0</v>
      </c>
      <c r="AQ291" s="193">
        <f>AA291</f>
        <v>440.5</v>
      </c>
      <c r="AR291" s="193">
        <f>W291*S291</f>
        <v>0</v>
      </c>
      <c r="AS291" s="193">
        <f>W291*T291</f>
        <v>0</v>
      </c>
      <c r="AT291" s="197">
        <f t="shared" si="295"/>
        <v>5815</v>
      </c>
      <c r="AU291" s="197">
        <f t="shared" si="295"/>
        <v>0</v>
      </c>
      <c r="AV291" s="191"/>
      <c r="AW291" s="236">
        <f>R291*S291</f>
        <v>5815</v>
      </c>
      <c r="AX291" s="236"/>
      <c r="AY291" s="619"/>
      <c r="AZ291" s="619"/>
      <c r="BA291" s="619"/>
    </row>
    <row r="292" spans="2:53" s="69" customFormat="1" ht="31.5">
      <c r="B292" s="660"/>
      <c r="C292" s="168" t="s">
        <v>1662</v>
      </c>
      <c r="D292" s="195"/>
      <c r="E292" s="181"/>
      <c r="F292" s="181"/>
      <c r="G292" s="171">
        <f>SUM(G287:G291)</f>
        <v>22365</v>
      </c>
      <c r="H292" s="682"/>
      <c r="I292" s="181"/>
      <c r="J292" s="682"/>
      <c r="K292" s="181"/>
      <c r="L292" s="181"/>
      <c r="M292" s="682"/>
      <c r="N292" s="181"/>
      <c r="O292" s="682"/>
      <c r="P292" s="181"/>
      <c r="Q292" s="181"/>
      <c r="R292" s="171">
        <f>SUM(R287:R291)</f>
        <v>22365</v>
      </c>
      <c r="S292" s="171">
        <f>SUM(S287:S291)</f>
        <v>4</v>
      </c>
      <c r="T292" s="171">
        <f>SUM(T287:T291)</f>
        <v>0</v>
      </c>
      <c r="U292" s="171"/>
      <c r="V292" s="693"/>
      <c r="W292" s="171"/>
      <c r="X292" s="693"/>
      <c r="Y292" s="693"/>
      <c r="Z292" s="171">
        <f>SUM(Z287:Z291)</f>
        <v>5233.5</v>
      </c>
      <c r="AA292" s="171">
        <f>SUM(AA287:AA291)</f>
        <v>4401.5</v>
      </c>
      <c r="AB292" s="171">
        <f>SUM(AB287:AB291)</f>
        <v>32000</v>
      </c>
      <c r="AC292" s="171">
        <f>SUM(AC287:AC291)</f>
        <v>22000</v>
      </c>
      <c r="AD292" s="171">
        <f>SUM(AD287:AD291)</f>
        <v>54000</v>
      </c>
      <c r="AE292" s="171">
        <f t="shared" ref="AE292:AV292" si="370">SUM(AE287:AE291)</f>
        <v>54000</v>
      </c>
      <c r="AF292" s="171">
        <f t="shared" si="370"/>
        <v>22000</v>
      </c>
      <c r="AG292" s="171">
        <f t="shared" si="370"/>
        <v>32000</v>
      </c>
      <c r="AH292" s="171">
        <f t="shared" si="370"/>
        <v>4401.5</v>
      </c>
      <c r="AI292" s="171">
        <f t="shared" si="370"/>
        <v>17445</v>
      </c>
      <c r="AJ292" s="171">
        <f t="shared" si="370"/>
        <v>0</v>
      </c>
      <c r="AK292" s="171">
        <f t="shared" si="370"/>
        <v>17445</v>
      </c>
      <c r="AL292" s="171">
        <f t="shared" si="370"/>
        <v>0</v>
      </c>
      <c r="AM292" s="171">
        <f t="shared" si="370"/>
        <v>0</v>
      </c>
      <c r="AN292" s="171">
        <f t="shared" si="370"/>
        <v>0</v>
      </c>
      <c r="AO292" s="171">
        <f t="shared" si="370"/>
        <v>5233.5</v>
      </c>
      <c r="AP292" s="171">
        <f t="shared" si="370"/>
        <v>0</v>
      </c>
      <c r="AQ292" s="171">
        <f t="shared" si="370"/>
        <v>1321.5</v>
      </c>
      <c r="AR292" s="171">
        <f t="shared" si="370"/>
        <v>0</v>
      </c>
      <c r="AS292" s="171">
        <f t="shared" si="370"/>
        <v>0</v>
      </c>
      <c r="AT292" s="171">
        <f t="shared" si="370"/>
        <v>17445</v>
      </c>
      <c r="AU292" s="171">
        <f t="shared" si="370"/>
        <v>0</v>
      </c>
      <c r="AV292" s="171">
        <f t="shared" si="370"/>
        <v>0</v>
      </c>
      <c r="AW292" s="171">
        <f>SUM(AW287:AW291)</f>
        <v>22365</v>
      </c>
      <c r="AX292" s="171">
        <f>SUM(AX287:AX291)</f>
        <v>0</v>
      </c>
      <c r="AY292" s="619"/>
      <c r="AZ292" s="619"/>
      <c r="BA292" s="619"/>
    </row>
    <row r="293" spans="2:53" s="69" customFormat="1" ht="33">
      <c r="B293" s="660"/>
      <c r="C293" s="208" t="s">
        <v>1774</v>
      </c>
      <c r="D293" s="195"/>
      <c r="E293" s="181"/>
      <c r="F293" s="181"/>
      <c r="G293" s="171"/>
      <c r="H293" s="703"/>
      <c r="I293" s="171"/>
      <c r="J293" s="682"/>
      <c r="K293" s="181"/>
      <c r="L293" s="181"/>
      <c r="M293" s="682"/>
      <c r="N293" s="181"/>
      <c r="O293" s="682"/>
      <c r="P293" s="181"/>
      <c r="Q293" s="181"/>
      <c r="R293" s="171"/>
      <c r="S293" s="171"/>
      <c r="T293" s="171"/>
      <c r="U293" s="171"/>
      <c r="V293" s="693"/>
      <c r="W293" s="171"/>
      <c r="X293" s="693"/>
      <c r="Y293" s="693"/>
      <c r="Z293" s="171"/>
      <c r="AA293" s="171"/>
      <c r="AB293" s="171"/>
      <c r="AC293" s="196"/>
      <c r="AD293" s="196"/>
      <c r="AE293" s="196"/>
      <c r="AF293" s="196"/>
      <c r="AG293" s="196"/>
      <c r="AH293" s="196"/>
      <c r="AI293" s="191"/>
      <c r="AJ293" s="191"/>
      <c r="AK293" s="191"/>
      <c r="AL293" s="191"/>
      <c r="AM293" s="191"/>
      <c r="AN293" s="191"/>
      <c r="AO293" s="193"/>
      <c r="AP293" s="193"/>
      <c r="AQ293" s="193"/>
      <c r="AR293" s="193"/>
      <c r="AS293" s="193"/>
      <c r="AT293" s="197"/>
      <c r="AU293" s="197"/>
      <c r="AV293" s="191"/>
      <c r="AW293" s="236"/>
      <c r="AX293" s="236"/>
      <c r="AY293" s="619"/>
      <c r="AZ293" s="619"/>
      <c r="BA293" s="619"/>
    </row>
    <row r="294" spans="2:53" s="69" customFormat="1" ht="94.5">
      <c r="B294" s="660">
        <f>B291+1</f>
        <v>187</v>
      </c>
      <c r="C294" s="185" t="s">
        <v>1138</v>
      </c>
      <c r="D294" s="186"/>
      <c r="E294" s="660" t="s">
        <v>1142</v>
      </c>
      <c r="F294" s="660">
        <v>3</v>
      </c>
      <c r="G294" s="187">
        <v>3770</v>
      </c>
      <c r="H294" s="687"/>
      <c r="I294" s="187"/>
      <c r="J294" s="692"/>
      <c r="K294" s="194"/>
      <c r="L294" s="194"/>
      <c r="M294" s="692"/>
      <c r="N294" s="194"/>
      <c r="O294" s="692"/>
      <c r="P294" s="194"/>
      <c r="Q294" s="194"/>
      <c r="R294" s="187">
        <f t="shared" ref="R294:R299" si="371">G294+I294+K294+L294+N294+P294+Q294</f>
        <v>3770</v>
      </c>
      <c r="S294" s="187">
        <v>1</v>
      </c>
      <c r="T294" s="194"/>
      <c r="U294" s="194"/>
      <c r="V294" s="688">
        <v>0.1</v>
      </c>
      <c r="W294" s="187">
        <f t="shared" ref="W294:W299" si="372">R294*V294</f>
        <v>377</v>
      </c>
      <c r="X294" s="674"/>
      <c r="Y294" s="688"/>
      <c r="Z294" s="187"/>
      <c r="AA294" s="187">
        <f t="shared" ref="AA294:AA299" si="373">AH294</f>
        <v>4230</v>
      </c>
      <c r="AB294" s="187">
        <f t="shared" ref="AB294:AB299" si="374">(R294+Z294+U294+W294)*S294+AA294</f>
        <v>8377</v>
      </c>
      <c r="AC294" s="689">
        <f t="shared" ref="AC294:AC299" si="375">AF294</f>
        <v>0</v>
      </c>
      <c r="AD294" s="689">
        <f t="shared" ref="AD294:AD299" si="376">AB294+AC294</f>
        <v>8377</v>
      </c>
      <c r="AE294" s="190">
        <f t="shared" ref="AE294:AE299" si="377">AB294</f>
        <v>8377</v>
      </c>
      <c r="AF294" s="190">
        <f t="shared" ref="AF294:AF299" si="378">AE294-AB294</f>
        <v>0</v>
      </c>
      <c r="AG294" s="689">
        <f t="shared" ref="AG294:AG299" si="379">8000*S294</f>
        <v>8000</v>
      </c>
      <c r="AH294" s="190">
        <f t="shared" ref="AH294:AH299" si="380">AG294-(R294*S294)</f>
        <v>4230</v>
      </c>
      <c r="AI294" s="191">
        <f t="shared" ref="AI294:AI299" si="381">G294*S294</f>
        <v>3770</v>
      </c>
      <c r="AJ294" s="191">
        <f t="shared" ref="AJ294:AJ299" si="382">G294*S294</f>
        <v>3770</v>
      </c>
      <c r="AK294" s="191">
        <f t="shared" ref="AK294:AK299" si="383">R294*S294</f>
        <v>3770</v>
      </c>
      <c r="AL294" s="191">
        <f t="shared" ref="AL294:AL299" si="384">R294*S294</f>
        <v>3770</v>
      </c>
      <c r="AM294" s="191">
        <f>AK294-AI294</f>
        <v>0</v>
      </c>
      <c r="AN294" s="191">
        <f t="shared" ref="AM294:AN299" si="385">AL294-AJ294</f>
        <v>0</v>
      </c>
      <c r="AO294" s="193">
        <f t="shared" ref="AO294:AO299" si="386">Z294*S294</f>
        <v>0</v>
      </c>
      <c r="AP294" s="193">
        <f t="shared" ref="AP294:AP299" si="387">Z294*T294</f>
        <v>0</v>
      </c>
      <c r="AQ294" s="193">
        <f t="shared" ref="AQ294:AQ299" si="388">AA294</f>
        <v>4230</v>
      </c>
      <c r="AR294" s="193">
        <f t="shared" ref="AR294:AR299" si="389">W294*S294</f>
        <v>377</v>
      </c>
      <c r="AS294" s="193">
        <f t="shared" ref="AS294:AS299" si="390">W294*S294</f>
        <v>377</v>
      </c>
      <c r="AT294" s="197">
        <f t="shared" si="295"/>
        <v>3770</v>
      </c>
      <c r="AU294" s="197">
        <f t="shared" si="295"/>
        <v>3770</v>
      </c>
      <c r="AV294" s="191"/>
      <c r="AW294" s="236">
        <f t="shared" ref="AW294:AW299" si="391">R294*S294</f>
        <v>3770</v>
      </c>
      <c r="AX294" s="236"/>
      <c r="AY294" s="619"/>
      <c r="AZ294" s="619"/>
      <c r="BA294" s="619"/>
    </row>
    <row r="295" spans="2:53" s="69" customFormat="1" ht="94.5">
      <c r="B295" s="660">
        <f>1+B294</f>
        <v>188</v>
      </c>
      <c r="C295" s="185" t="s">
        <v>1138</v>
      </c>
      <c r="D295" s="186"/>
      <c r="E295" s="660" t="s">
        <v>1145</v>
      </c>
      <c r="F295" s="660">
        <v>3</v>
      </c>
      <c r="G295" s="187">
        <v>3770</v>
      </c>
      <c r="H295" s="687"/>
      <c r="I295" s="187"/>
      <c r="J295" s="687"/>
      <c r="K295" s="187"/>
      <c r="L295" s="187"/>
      <c r="M295" s="687"/>
      <c r="N295" s="187"/>
      <c r="O295" s="687"/>
      <c r="P295" s="187"/>
      <c r="Q295" s="187"/>
      <c r="R295" s="187">
        <f t="shared" si="371"/>
        <v>3770</v>
      </c>
      <c r="S295" s="187">
        <v>1</v>
      </c>
      <c r="T295" s="194"/>
      <c r="U295" s="194"/>
      <c r="V295" s="688">
        <v>0.1</v>
      </c>
      <c r="W295" s="187">
        <f t="shared" si="372"/>
        <v>377</v>
      </c>
      <c r="X295" s="674"/>
      <c r="Y295" s="688"/>
      <c r="Z295" s="187"/>
      <c r="AA295" s="187">
        <f t="shared" si="373"/>
        <v>4230</v>
      </c>
      <c r="AB295" s="187">
        <f t="shared" si="374"/>
        <v>8377</v>
      </c>
      <c r="AC295" s="689">
        <f t="shared" si="375"/>
        <v>0</v>
      </c>
      <c r="AD295" s="689">
        <f t="shared" si="376"/>
        <v>8377</v>
      </c>
      <c r="AE295" s="190">
        <f t="shared" si="377"/>
        <v>8377</v>
      </c>
      <c r="AF295" s="190">
        <f t="shared" si="378"/>
        <v>0</v>
      </c>
      <c r="AG295" s="689">
        <f t="shared" si="379"/>
        <v>8000</v>
      </c>
      <c r="AH295" s="190">
        <f t="shared" si="380"/>
        <v>4230</v>
      </c>
      <c r="AI295" s="191">
        <f t="shared" si="381"/>
        <v>3770</v>
      </c>
      <c r="AJ295" s="191">
        <f t="shared" si="382"/>
        <v>3770</v>
      </c>
      <c r="AK295" s="191">
        <f t="shared" si="383"/>
        <v>3770</v>
      </c>
      <c r="AL295" s="191">
        <f t="shared" si="384"/>
        <v>3770</v>
      </c>
      <c r="AM295" s="191">
        <f t="shared" si="385"/>
        <v>0</v>
      </c>
      <c r="AN295" s="191">
        <f t="shared" si="385"/>
        <v>0</v>
      </c>
      <c r="AO295" s="193">
        <f t="shared" si="386"/>
        <v>0</v>
      </c>
      <c r="AP295" s="193">
        <f t="shared" si="387"/>
        <v>0</v>
      </c>
      <c r="AQ295" s="193">
        <f t="shared" si="388"/>
        <v>4230</v>
      </c>
      <c r="AR295" s="193">
        <f t="shared" si="389"/>
        <v>377</v>
      </c>
      <c r="AS295" s="193">
        <f t="shared" si="390"/>
        <v>377</v>
      </c>
      <c r="AT295" s="197">
        <f t="shared" si="295"/>
        <v>3770</v>
      </c>
      <c r="AU295" s="197">
        <f t="shared" si="295"/>
        <v>3770</v>
      </c>
      <c r="AV295" s="191"/>
      <c r="AW295" s="236">
        <f t="shared" si="391"/>
        <v>3770</v>
      </c>
      <c r="AX295" s="236"/>
      <c r="AY295" s="619"/>
      <c r="AZ295" s="619"/>
      <c r="BA295" s="619"/>
    </row>
    <row r="296" spans="2:53" s="69" customFormat="1" ht="94.5">
      <c r="B296" s="660">
        <f>1+B295</f>
        <v>189</v>
      </c>
      <c r="C296" s="185" t="s">
        <v>1138</v>
      </c>
      <c r="D296" s="186"/>
      <c r="E296" s="660" t="s">
        <v>1146</v>
      </c>
      <c r="F296" s="660">
        <v>3</v>
      </c>
      <c r="G296" s="187">
        <v>3770</v>
      </c>
      <c r="H296" s="687"/>
      <c r="I296" s="187"/>
      <c r="J296" s="687"/>
      <c r="K296" s="187"/>
      <c r="L296" s="187"/>
      <c r="M296" s="687"/>
      <c r="N296" s="187"/>
      <c r="O296" s="687"/>
      <c r="P296" s="187"/>
      <c r="Q296" s="187"/>
      <c r="R296" s="187">
        <f t="shared" si="371"/>
        <v>3770</v>
      </c>
      <c r="S296" s="187">
        <v>1</v>
      </c>
      <c r="T296" s="187"/>
      <c r="U296" s="187"/>
      <c r="V296" s="688">
        <v>0.1</v>
      </c>
      <c r="W296" s="187">
        <f t="shared" si="372"/>
        <v>377</v>
      </c>
      <c r="X296" s="674"/>
      <c r="Y296" s="688"/>
      <c r="Z296" s="187"/>
      <c r="AA296" s="187">
        <f t="shared" si="373"/>
        <v>4230</v>
      </c>
      <c r="AB296" s="187">
        <f t="shared" si="374"/>
        <v>8377</v>
      </c>
      <c r="AC296" s="689">
        <f t="shared" si="375"/>
        <v>0</v>
      </c>
      <c r="AD296" s="689">
        <f t="shared" si="376"/>
        <v>8377</v>
      </c>
      <c r="AE296" s="190">
        <f t="shared" si="377"/>
        <v>8377</v>
      </c>
      <c r="AF296" s="190">
        <f t="shared" si="378"/>
        <v>0</v>
      </c>
      <c r="AG296" s="689">
        <f t="shared" si="379"/>
        <v>8000</v>
      </c>
      <c r="AH296" s="190">
        <f t="shared" si="380"/>
        <v>4230</v>
      </c>
      <c r="AI296" s="191">
        <f t="shared" si="381"/>
        <v>3770</v>
      </c>
      <c r="AJ296" s="191">
        <f t="shared" si="382"/>
        <v>3770</v>
      </c>
      <c r="AK296" s="191">
        <f t="shared" si="383"/>
        <v>3770</v>
      </c>
      <c r="AL296" s="191">
        <f t="shared" si="384"/>
        <v>3770</v>
      </c>
      <c r="AM296" s="191">
        <f t="shared" si="385"/>
        <v>0</v>
      </c>
      <c r="AN296" s="191">
        <f t="shared" si="385"/>
        <v>0</v>
      </c>
      <c r="AO296" s="193">
        <f t="shared" si="386"/>
        <v>0</v>
      </c>
      <c r="AP296" s="193">
        <f t="shared" si="387"/>
        <v>0</v>
      </c>
      <c r="AQ296" s="193">
        <f t="shared" si="388"/>
        <v>4230</v>
      </c>
      <c r="AR296" s="193">
        <f t="shared" si="389"/>
        <v>377</v>
      </c>
      <c r="AS296" s="193">
        <f t="shared" si="390"/>
        <v>377</v>
      </c>
      <c r="AT296" s="197">
        <f t="shared" si="295"/>
        <v>3770</v>
      </c>
      <c r="AU296" s="197">
        <f t="shared" si="295"/>
        <v>3770</v>
      </c>
      <c r="AV296" s="191"/>
      <c r="AW296" s="236">
        <f t="shared" si="391"/>
        <v>3770</v>
      </c>
      <c r="AX296" s="236"/>
      <c r="AY296" s="619"/>
      <c r="AZ296" s="619"/>
      <c r="BA296" s="619"/>
    </row>
    <row r="297" spans="2:53" s="69" customFormat="1" ht="94.5">
      <c r="B297" s="660">
        <f>B296+1</f>
        <v>190</v>
      </c>
      <c r="C297" s="185" t="s">
        <v>1138</v>
      </c>
      <c r="D297" s="186"/>
      <c r="E297" s="660" t="s">
        <v>176</v>
      </c>
      <c r="F297" s="660">
        <v>3</v>
      </c>
      <c r="G297" s="187">
        <v>3770</v>
      </c>
      <c r="H297" s="687"/>
      <c r="I297" s="187"/>
      <c r="J297" s="687"/>
      <c r="K297" s="187"/>
      <c r="L297" s="187"/>
      <c r="M297" s="687"/>
      <c r="N297" s="187"/>
      <c r="O297" s="687"/>
      <c r="P297" s="187"/>
      <c r="Q297" s="187"/>
      <c r="R297" s="187">
        <f t="shared" si="371"/>
        <v>3770</v>
      </c>
      <c r="S297" s="187">
        <v>1</v>
      </c>
      <c r="T297" s="187"/>
      <c r="U297" s="187"/>
      <c r="V297" s="688">
        <v>0.1</v>
      </c>
      <c r="W297" s="187">
        <f t="shared" si="372"/>
        <v>377</v>
      </c>
      <c r="X297" s="674"/>
      <c r="Y297" s="688"/>
      <c r="Z297" s="187"/>
      <c r="AA297" s="187">
        <f t="shared" si="373"/>
        <v>4230</v>
      </c>
      <c r="AB297" s="187">
        <f t="shared" si="374"/>
        <v>8377</v>
      </c>
      <c r="AC297" s="689">
        <f t="shared" si="375"/>
        <v>0</v>
      </c>
      <c r="AD297" s="689">
        <f t="shared" si="376"/>
        <v>8377</v>
      </c>
      <c r="AE297" s="190">
        <f t="shared" si="377"/>
        <v>8377</v>
      </c>
      <c r="AF297" s="190">
        <f t="shared" si="378"/>
        <v>0</v>
      </c>
      <c r="AG297" s="689">
        <f t="shared" si="379"/>
        <v>8000</v>
      </c>
      <c r="AH297" s="190">
        <f t="shared" si="380"/>
        <v>4230</v>
      </c>
      <c r="AI297" s="191">
        <f>G297*S297</f>
        <v>3770</v>
      </c>
      <c r="AJ297" s="191">
        <f t="shared" si="382"/>
        <v>3770</v>
      </c>
      <c r="AK297" s="191">
        <f t="shared" si="383"/>
        <v>3770</v>
      </c>
      <c r="AL297" s="191">
        <f t="shared" si="384"/>
        <v>3770</v>
      </c>
      <c r="AM297" s="191">
        <f t="shared" si="385"/>
        <v>0</v>
      </c>
      <c r="AN297" s="191">
        <f>AL297-AJ297</f>
        <v>0</v>
      </c>
      <c r="AO297" s="193">
        <f t="shared" si="386"/>
        <v>0</v>
      </c>
      <c r="AP297" s="193">
        <f t="shared" si="387"/>
        <v>0</v>
      </c>
      <c r="AQ297" s="193">
        <f t="shared" si="388"/>
        <v>4230</v>
      </c>
      <c r="AR297" s="193">
        <f t="shared" si="389"/>
        <v>377</v>
      </c>
      <c r="AS297" s="193">
        <f t="shared" si="390"/>
        <v>377</v>
      </c>
      <c r="AT297" s="197">
        <f t="shared" si="295"/>
        <v>3770</v>
      </c>
      <c r="AU297" s="197">
        <f t="shared" si="295"/>
        <v>3770</v>
      </c>
      <c r="AV297" s="191"/>
      <c r="AW297" s="236">
        <f>R297*S297</f>
        <v>3770</v>
      </c>
      <c r="AX297" s="236"/>
      <c r="AY297" s="619"/>
      <c r="AZ297" s="619"/>
      <c r="BA297" s="619"/>
    </row>
    <row r="298" spans="2:53" s="69" customFormat="1" ht="94.5">
      <c r="B298" s="660">
        <f>B297+1</f>
        <v>191</v>
      </c>
      <c r="C298" s="185" t="s">
        <v>1138</v>
      </c>
      <c r="D298" s="862"/>
      <c r="E298" s="884" t="s">
        <v>291</v>
      </c>
      <c r="F298" s="660">
        <v>3</v>
      </c>
      <c r="G298" s="187">
        <v>3770</v>
      </c>
      <c r="H298" s="869"/>
      <c r="I298" s="868"/>
      <c r="J298" s="869"/>
      <c r="K298" s="868"/>
      <c r="L298" s="868"/>
      <c r="M298" s="869"/>
      <c r="N298" s="868"/>
      <c r="O298" s="869"/>
      <c r="P298" s="868"/>
      <c r="Q298" s="868"/>
      <c r="R298" s="187">
        <f>G298+I298+K298+L298+N298+P298+Q298</f>
        <v>3770</v>
      </c>
      <c r="S298" s="187">
        <v>1</v>
      </c>
      <c r="T298" s="187"/>
      <c r="U298" s="187"/>
      <c r="V298" s="688">
        <v>0.1</v>
      </c>
      <c r="W298" s="187">
        <f t="shared" si="372"/>
        <v>377</v>
      </c>
      <c r="X298" s="674"/>
      <c r="Y298" s="688"/>
      <c r="Z298" s="187"/>
      <c r="AA298" s="187">
        <f t="shared" si="373"/>
        <v>4230</v>
      </c>
      <c r="AB298" s="187">
        <f t="shared" si="374"/>
        <v>8377</v>
      </c>
      <c r="AC298" s="689">
        <f t="shared" si="375"/>
        <v>0</v>
      </c>
      <c r="AD298" s="689">
        <f t="shared" si="376"/>
        <v>8377</v>
      </c>
      <c r="AE298" s="190">
        <f t="shared" si="377"/>
        <v>8377</v>
      </c>
      <c r="AF298" s="190">
        <f t="shared" si="378"/>
        <v>0</v>
      </c>
      <c r="AG298" s="689">
        <f t="shared" si="379"/>
        <v>8000</v>
      </c>
      <c r="AH298" s="190">
        <f t="shared" si="380"/>
        <v>4230</v>
      </c>
      <c r="AI298" s="191">
        <f t="shared" si="381"/>
        <v>3770</v>
      </c>
      <c r="AJ298" s="191">
        <f t="shared" si="382"/>
        <v>3770</v>
      </c>
      <c r="AK298" s="191">
        <f t="shared" si="383"/>
        <v>3770</v>
      </c>
      <c r="AL298" s="191">
        <f t="shared" si="384"/>
        <v>3770</v>
      </c>
      <c r="AM298" s="191">
        <f t="shared" si="385"/>
        <v>0</v>
      </c>
      <c r="AN298" s="191">
        <f t="shared" si="385"/>
        <v>0</v>
      </c>
      <c r="AO298" s="193">
        <f t="shared" si="386"/>
        <v>0</v>
      </c>
      <c r="AP298" s="193">
        <f t="shared" si="387"/>
        <v>0</v>
      </c>
      <c r="AQ298" s="193">
        <f t="shared" si="388"/>
        <v>4230</v>
      </c>
      <c r="AR298" s="193">
        <f t="shared" si="389"/>
        <v>377</v>
      </c>
      <c r="AS298" s="193">
        <f t="shared" si="390"/>
        <v>377</v>
      </c>
      <c r="AT298" s="197">
        <f t="shared" si="295"/>
        <v>3770</v>
      </c>
      <c r="AU298" s="197">
        <f t="shared" si="295"/>
        <v>3770</v>
      </c>
      <c r="AV298" s="191"/>
      <c r="AW298" s="236">
        <f t="shared" si="391"/>
        <v>3770</v>
      </c>
      <c r="AX298" s="236"/>
      <c r="AY298" s="619"/>
      <c r="AZ298" s="619"/>
      <c r="BA298" s="619"/>
    </row>
    <row r="299" spans="2:53" s="69" customFormat="1" ht="94.5">
      <c r="B299" s="660">
        <f>B298+1</f>
        <v>192</v>
      </c>
      <c r="C299" s="185" t="s">
        <v>1138</v>
      </c>
      <c r="D299" s="186"/>
      <c r="E299" s="660" t="s">
        <v>1149</v>
      </c>
      <c r="F299" s="660">
        <v>3</v>
      </c>
      <c r="G299" s="187">
        <v>3770</v>
      </c>
      <c r="H299" s="687"/>
      <c r="I299" s="187"/>
      <c r="J299" s="687"/>
      <c r="K299" s="187"/>
      <c r="L299" s="187"/>
      <c r="M299" s="687"/>
      <c r="N299" s="187"/>
      <c r="O299" s="687"/>
      <c r="P299" s="187"/>
      <c r="Q299" s="187"/>
      <c r="R299" s="187">
        <f t="shared" si="371"/>
        <v>3770</v>
      </c>
      <c r="S299" s="187">
        <v>1</v>
      </c>
      <c r="T299" s="187"/>
      <c r="U299" s="187"/>
      <c r="V299" s="688">
        <v>0.1</v>
      </c>
      <c r="W299" s="187">
        <f t="shared" si="372"/>
        <v>377</v>
      </c>
      <c r="X299" s="674"/>
      <c r="Y299" s="688"/>
      <c r="Z299" s="187"/>
      <c r="AA299" s="187">
        <f t="shared" si="373"/>
        <v>4230</v>
      </c>
      <c r="AB299" s="187">
        <f t="shared" si="374"/>
        <v>8377</v>
      </c>
      <c r="AC299" s="689">
        <f t="shared" si="375"/>
        <v>0</v>
      </c>
      <c r="AD299" s="689">
        <f t="shared" si="376"/>
        <v>8377</v>
      </c>
      <c r="AE299" s="190">
        <f t="shared" si="377"/>
        <v>8377</v>
      </c>
      <c r="AF299" s="190">
        <f t="shared" si="378"/>
        <v>0</v>
      </c>
      <c r="AG299" s="689">
        <f t="shared" si="379"/>
        <v>8000</v>
      </c>
      <c r="AH299" s="190">
        <f t="shared" si="380"/>
        <v>4230</v>
      </c>
      <c r="AI299" s="191">
        <f t="shared" si="381"/>
        <v>3770</v>
      </c>
      <c r="AJ299" s="191">
        <f t="shared" si="382"/>
        <v>3770</v>
      </c>
      <c r="AK299" s="191">
        <f t="shared" si="383"/>
        <v>3770</v>
      </c>
      <c r="AL299" s="191">
        <f t="shared" si="384"/>
        <v>3770</v>
      </c>
      <c r="AM299" s="191">
        <f t="shared" si="385"/>
        <v>0</v>
      </c>
      <c r="AN299" s="191">
        <f t="shared" si="385"/>
        <v>0</v>
      </c>
      <c r="AO299" s="193">
        <f t="shared" si="386"/>
        <v>0</v>
      </c>
      <c r="AP299" s="193">
        <f t="shared" si="387"/>
        <v>0</v>
      </c>
      <c r="AQ299" s="193">
        <f t="shared" si="388"/>
        <v>4230</v>
      </c>
      <c r="AR299" s="193">
        <f t="shared" si="389"/>
        <v>377</v>
      </c>
      <c r="AS299" s="193">
        <f t="shared" si="390"/>
        <v>377</v>
      </c>
      <c r="AT299" s="197">
        <f t="shared" si="295"/>
        <v>3770</v>
      </c>
      <c r="AU299" s="197">
        <f t="shared" si="295"/>
        <v>3770</v>
      </c>
      <c r="AV299" s="191"/>
      <c r="AW299" s="236">
        <f t="shared" si="391"/>
        <v>3770</v>
      </c>
      <c r="AX299" s="236"/>
      <c r="AY299" s="619"/>
      <c r="AZ299" s="619"/>
      <c r="BA299" s="619"/>
    </row>
    <row r="300" spans="2:53" s="69" customFormat="1" ht="31.5">
      <c r="B300" s="660"/>
      <c r="C300" s="168" t="s">
        <v>1662</v>
      </c>
      <c r="D300" s="195"/>
      <c r="E300" s="181"/>
      <c r="F300" s="181"/>
      <c r="G300" s="171">
        <f>SUM(G294:G299)</f>
        <v>22620</v>
      </c>
      <c r="H300" s="682"/>
      <c r="I300" s="181"/>
      <c r="J300" s="682"/>
      <c r="K300" s="181"/>
      <c r="L300" s="181"/>
      <c r="M300" s="682"/>
      <c r="N300" s="181"/>
      <c r="O300" s="682"/>
      <c r="P300" s="181"/>
      <c r="Q300" s="181"/>
      <c r="R300" s="171">
        <f>SUM(R294:R299)</f>
        <v>22620</v>
      </c>
      <c r="S300" s="171">
        <f>SUM(S294:S299)</f>
        <v>6</v>
      </c>
      <c r="T300" s="171">
        <f>SUM(T294:T299)</f>
        <v>0</v>
      </c>
      <c r="U300" s="172"/>
      <c r="V300" s="693"/>
      <c r="W300" s="171">
        <f>SUM(W294:W299)</f>
        <v>2262</v>
      </c>
      <c r="X300" s="693"/>
      <c r="Y300" s="693"/>
      <c r="Z300" s="171"/>
      <c r="AA300" s="171">
        <f>SUM(AA294:AA299)</f>
        <v>25380</v>
      </c>
      <c r="AB300" s="171">
        <f>SUM(AB294:AB299)</f>
        <v>50262</v>
      </c>
      <c r="AC300" s="171">
        <f>SUM(AC294:AC299)</f>
        <v>0</v>
      </c>
      <c r="AD300" s="171">
        <f>SUM(AD294:AD299)</f>
        <v>50262</v>
      </c>
      <c r="AE300" s="171">
        <f t="shared" ref="AE300:AV300" si="392">SUM(AE294:AE299)</f>
        <v>50262</v>
      </c>
      <c r="AF300" s="171">
        <f t="shared" si="392"/>
        <v>0</v>
      </c>
      <c r="AG300" s="171">
        <f t="shared" si="392"/>
        <v>48000</v>
      </c>
      <c r="AH300" s="171">
        <f t="shared" si="392"/>
        <v>25380</v>
      </c>
      <c r="AI300" s="171">
        <f t="shared" si="392"/>
        <v>22620</v>
      </c>
      <c r="AJ300" s="171">
        <f t="shared" si="392"/>
        <v>22620</v>
      </c>
      <c r="AK300" s="171">
        <f t="shared" si="392"/>
        <v>22620</v>
      </c>
      <c r="AL300" s="171">
        <f t="shared" si="392"/>
        <v>22620</v>
      </c>
      <c r="AM300" s="171">
        <f t="shared" si="392"/>
        <v>0</v>
      </c>
      <c r="AN300" s="171">
        <f t="shared" si="392"/>
        <v>0</v>
      </c>
      <c r="AO300" s="171">
        <f t="shared" si="392"/>
        <v>0</v>
      </c>
      <c r="AP300" s="171">
        <f t="shared" si="392"/>
        <v>0</v>
      </c>
      <c r="AQ300" s="171">
        <f t="shared" si="392"/>
        <v>25380</v>
      </c>
      <c r="AR300" s="171">
        <f t="shared" si="392"/>
        <v>2262</v>
      </c>
      <c r="AS300" s="171">
        <f t="shared" si="392"/>
        <v>2262</v>
      </c>
      <c r="AT300" s="171">
        <f t="shared" si="392"/>
        <v>22620</v>
      </c>
      <c r="AU300" s="171">
        <f t="shared" si="392"/>
        <v>22620</v>
      </c>
      <c r="AV300" s="171">
        <f t="shared" si="392"/>
        <v>0</v>
      </c>
      <c r="AW300" s="171">
        <f>SUM(AW294:AW299)</f>
        <v>22620</v>
      </c>
      <c r="AX300" s="171">
        <f>SUM(AX294:AX299)</f>
        <v>0</v>
      </c>
      <c r="AY300" s="619"/>
      <c r="AZ300" s="619"/>
      <c r="BA300" s="619"/>
    </row>
    <row r="301" spans="2:53" s="69" customFormat="1" ht="33">
      <c r="B301" s="660"/>
      <c r="C301" s="179" t="s">
        <v>1109</v>
      </c>
      <c r="D301" s="180"/>
      <c r="E301" s="181"/>
      <c r="F301" s="181"/>
      <c r="G301" s="181"/>
      <c r="H301" s="682"/>
      <c r="I301" s="181"/>
      <c r="J301" s="682"/>
      <c r="K301" s="181"/>
      <c r="L301" s="181"/>
      <c r="M301" s="682"/>
      <c r="N301" s="181"/>
      <c r="O301" s="682"/>
      <c r="P301" s="181"/>
      <c r="Q301" s="181"/>
      <c r="R301" s="181"/>
      <c r="S301" s="181"/>
      <c r="T301" s="181"/>
      <c r="U301" s="181"/>
      <c r="V301" s="683"/>
      <c r="W301" s="181"/>
      <c r="X301" s="683"/>
      <c r="Y301" s="683"/>
      <c r="Z301" s="181"/>
      <c r="AA301" s="181"/>
      <c r="AB301" s="181"/>
      <c r="AC301" s="183"/>
      <c r="AD301" s="183"/>
      <c r="AE301" s="183"/>
      <c r="AF301" s="183"/>
      <c r="AG301" s="183"/>
      <c r="AH301" s="183"/>
      <c r="AI301" s="191"/>
      <c r="AJ301" s="191"/>
      <c r="AK301" s="191"/>
      <c r="AL301" s="191"/>
      <c r="AM301" s="191"/>
      <c r="AN301" s="191"/>
      <c r="AO301" s="193"/>
      <c r="AP301" s="193"/>
      <c r="AQ301" s="193"/>
      <c r="AR301" s="193"/>
      <c r="AS301" s="193"/>
      <c r="AT301" s="197"/>
      <c r="AU301" s="197"/>
      <c r="AV301" s="191"/>
      <c r="AW301" s="236"/>
      <c r="AX301" s="236"/>
      <c r="AY301" s="619"/>
      <c r="AZ301" s="619"/>
      <c r="BA301" s="619"/>
    </row>
    <row r="302" spans="2:53" s="69" customFormat="1" ht="63">
      <c r="B302" s="660">
        <f>B299+1</f>
        <v>193</v>
      </c>
      <c r="C302" s="185" t="s">
        <v>1160</v>
      </c>
      <c r="D302" s="186"/>
      <c r="E302" s="660" t="s">
        <v>112</v>
      </c>
      <c r="F302" s="660">
        <v>4</v>
      </c>
      <c r="G302" s="187">
        <v>4058</v>
      </c>
      <c r="H302" s="687"/>
      <c r="I302" s="187"/>
      <c r="J302" s="687"/>
      <c r="K302" s="187"/>
      <c r="L302" s="187"/>
      <c r="M302" s="687"/>
      <c r="N302" s="187"/>
      <c r="O302" s="687"/>
      <c r="P302" s="187"/>
      <c r="Q302" s="187"/>
      <c r="R302" s="187">
        <f>G302+I302+K302+L302+N302+P302+Q302</f>
        <v>4058</v>
      </c>
      <c r="S302" s="187">
        <v>1</v>
      </c>
      <c r="T302" s="187"/>
      <c r="U302" s="187"/>
      <c r="V302" s="688">
        <v>0.1</v>
      </c>
      <c r="W302" s="187">
        <f>R302*V302</f>
        <v>405.8</v>
      </c>
      <c r="X302" s="674"/>
      <c r="Y302" s="688"/>
      <c r="Z302" s="187"/>
      <c r="AA302" s="187">
        <f>AH302</f>
        <v>3942</v>
      </c>
      <c r="AB302" s="187">
        <f>(R302+Z302+U302+W302)*S302+AA302</f>
        <v>8405.7999999999993</v>
      </c>
      <c r="AC302" s="689">
        <f>AF302</f>
        <v>0</v>
      </c>
      <c r="AD302" s="689">
        <f>AB302+AC302</f>
        <v>8405.7999999999993</v>
      </c>
      <c r="AE302" s="190">
        <f>AB302</f>
        <v>8405.7999999999993</v>
      </c>
      <c r="AF302" s="190">
        <f>AE302-AB302</f>
        <v>0</v>
      </c>
      <c r="AG302" s="689">
        <f>8000*S302</f>
        <v>8000</v>
      </c>
      <c r="AH302" s="190">
        <f>AG302-(R302*S302)</f>
        <v>3942</v>
      </c>
      <c r="AI302" s="191">
        <f>G302*S302</f>
        <v>4058</v>
      </c>
      <c r="AJ302" s="191">
        <f>G302*T302</f>
        <v>0</v>
      </c>
      <c r="AK302" s="191">
        <f>R302*S302</f>
        <v>4058</v>
      </c>
      <c r="AL302" s="191">
        <f>R302*T302</f>
        <v>0</v>
      </c>
      <c r="AM302" s="191">
        <f t="shared" ref="AM302:AN305" si="393">AK302-AI302</f>
        <v>0</v>
      </c>
      <c r="AN302" s="191">
        <f t="shared" si="393"/>
        <v>0</v>
      </c>
      <c r="AO302" s="193">
        <f>Z302*S302</f>
        <v>0</v>
      </c>
      <c r="AP302" s="193">
        <f>Z302*T302</f>
        <v>0</v>
      </c>
      <c r="AQ302" s="193">
        <f>AA302</f>
        <v>3942</v>
      </c>
      <c r="AR302" s="193">
        <f>W302*S302</f>
        <v>405.8</v>
      </c>
      <c r="AS302" s="193">
        <f>W302*T302</f>
        <v>0</v>
      </c>
      <c r="AT302" s="197">
        <f t="shared" ref="AT302:AU367" si="394">AK302</f>
        <v>4058</v>
      </c>
      <c r="AU302" s="197">
        <f t="shared" si="394"/>
        <v>0</v>
      </c>
      <c r="AV302" s="191"/>
      <c r="AW302" s="236">
        <f>R302*S302</f>
        <v>4058</v>
      </c>
      <c r="AX302" s="236"/>
      <c r="AY302" s="619"/>
      <c r="AZ302" s="619"/>
      <c r="BA302" s="619"/>
    </row>
    <row r="303" spans="2:53" s="69" customFormat="1" ht="63">
      <c r="B303" s="660">
        <f>1+B302</f>
        <v>194</v>
      </c>
      <c r="C303" s="185" t="s">
        <v>1160</v>
      </c>
      <c r="D303" s="186"/>
      <c r="E303" s="660" t="s">
        <v>1729</v>
      </c>
      <c r="F303" s="660">
        <v>4</v>
      </c>
      <c r="G303" s="187">
        <v>4058</v>
      </c>
      <c r="H303" s="687"/>
      <c r="I303" s="187"/>
      <c r="J303" s="687"/>
      <c r="K303" s="187"/>
      <c r="L303" s="187"/>
      <c r="M303" s="687"/>
      <c r="N303" s="187"/>
      <c r="O303" s="687"/>
      <c r="P303" s="187"/>
      <c r="Q303" s="187"/>
      <c r="R303" s="187">
        <f>G303+I303+K303+L303+N303+P303+Q303</f>
        <v>4058</v>
      </c>
      <c r="S303" s="187">
        <v>1</v>
      </c>
      <c r="T303" s="187"/>
      <c r="U303" s="187"/>
      <c r="V303" s="688">
        <v>0.1</v>
      </c>
      <c r="W303" s="187">
        <f>R303*V303</f>
        <v>405.8</v>
      </c>
      <c r="X303" s="674"/>
      <c r="Y303" s="688"/>
      <c r="Z303" s="187"/>
      <c r="AA303" s="187">
        <f>AH303</f>
        <v>3942</v>
      </c>
      <c r="AB303" s="187">
        <f>(R303+Z303+U303+W303)*S303+AA303</f>
        <v>8405.7999999999993</v>
      </c>
      <c r="AC303" s="689">
        <f>AF303</f>
        <v>0</v>
      </c>
      <c r="AD303" s="689">
        <f>AB303+AC303</f>
        <v>8405.7999999999993</v>
      </c>
      <c r="AE303" s="190">
        <f>AB303</f>
        <v>8405.7999999999993</v>
      </c>
      <c r="AF303" s="190">
        <f>AE303-AB303</f>
        <v>0</v>
      </c>
      <c r="AG303" s="689">
        <f>8000*S303</f>
        <v>8000</v>
      </c>
      <c r="AH303" s="190">
        <f>AG303-(R303*S303)</f>
        <v>3942</v>
      </c>
      <c r="AI303" s="191">
        <f>G303*S303</f>
        <v>4058</v>
      </c>
      <c r="AJ303" s="191">
        <f>G303*T303</f>
        <v>0</v>
      </c>
      <c r="AK303" s="191">
        <f>R303*S303</f>
        <v>4058</v>
      </c>
      <c r="AL303" s="191">
        <f>R303*T303</f>
        <v>0</v>
      </c>
      <c r="AM303" s="191">
        <f t="shared" si="393"/>
        <v>0</v>
      </c>
      <c r="AN303" s="191">
        <f t="shared" si="393"/>
        <v>0</v>
      </c>
      <c r="AO303" s="193">
        <f>Z303*S303</f>
        <v>0</v>
      </c>
      <c r="AP303" s="193">
        <f>Z303*T303</f>
        <v>0</v>
      </c>
      <c r="AQ303" s="193">
        <f>AA303</f>
        <v>3942</v>
      </c>
      <c r="AR303" s="193">
        <f>W303*S303</f>
        <v>405.8</v>
      </c>
      <c r="AS303" s="193">
        <f>W303*T303</f>
        <v>0</v>
      </c>
      <c r="AT303" s="197">
        <f t="shared" si="394"/>
        <v>4058</v>
      </c>
      <c r="AU303" s="197">
        <f t="shared" si="394"/>
        <v>0</v>
      </c>
      <c r="AV303" s="191"/>
      <c r="AW303" s="236">
        <f>R303*S303</f>
        <v>4058</v>
      </c>
      <c r="AX303" s="236"/>
      <c r="AY303" s="619"/>
      <c r="AZ303" s="619"/>
      <c r="BA303" s="619"/>
    </row>
    <row r="304" spans="2:53" s="69" customFormat="1" ht="63">
      <c r="B304" s="660">
        <f>1+B303</f>
        <v>195</v>
      </c>
      <c r="C304" s="185" t="s">
        <v>1160</v>
      </c>
      <c r="D304" s="186"/>
      <c r="E304" s="660" t="s">
        <v>1730</v>
      </c>
      <c r="F304" s="660">
        <v>4</v>
      </c>
      <c r="G304" s="187">
        <v>4058</v>
      </c>
      <c r="H304" s="687"/>
      <c r="I304" s="187"/>
      <c r="J304" s="687"/>
      <c r="K304" s="187"/>
      <c r="L304" s="187"/>
      <c r="M304" s="687"/>
      <c r="N304" s="187"/>
      <c r="O304" s="687"/>
      <c r="P304" s="187"/>
      <c r="Q304" s="187"/>
      <c r="R304" s="187">
        <f>G304+I304+K304+L304+N304+P304+Q304</f>
        <v>4058</v>
      </c>
      <c r="S304" s="187">
        <v>1</v>
      </c>
      <c r="T304" s="187"/>
      <c r="U304" s="187"/>
      <c r="V304" s="688">
        <v>0.1</v>
      </c>
      <c r="W304" s="187">
        <f>R304*V304</f>
        <v>405.8</v>
      </c>
      <c r="X304" s="674"/>
      <c r="Y304" s="688"/>
      <c r="Z304" s="187"/>
      <c r="AA304" s="187">
        <f>AH304</f>
        <v>3942</v>
      </c>
      <c r="AB304" s="187">
        <f>(R304+Z304+U304+W304)*S304+AA304</f>
        <v>8405.7999999999993</v>
      </c>
      <c r="AC304" s="689">
        <f>AF304</f>
        <v>0</v>
      </c>
      <c r="AD304" s="689">
        <f>AB304+AC304</f>
        <v>8405.7999999999993</v>
      </c>
      <c r="AE304" s="190">
        <f>AB304</f>
        <v>8405.7999999999993</v>
      </c>
      <c r="AF304" s="190">
        <f>AE304-AB304</f>
        <v>0</v>
      </c>
      <c r="AG304" s="689">
        <f>8000*S304</f>
        <v>8000</v>
      </c>
      <c r="AH304" s="190">
        <f>AG304-(R304*S304)</f>
        <v>3942</v>
      </c>
      <c r="AI304" s="191">
        <f>G304*S304</f>
        <v>4058</v>
      </c>
      <c r="AJ304" s="191">
        <f>G304*T304</f>
        <v>0</v>
      </c>
      <c r="AK304" s="191">
        <f>R304*S304</f>
        <v>4058</v>
      </c>
      <c r="AL304" s="191">
        <f>R304*T304</f>
        <v>0</v>
      </c>
      <c r="AM304" s="191">
        <f t="shared" si="393"/>
        <v>0</v>
      </c>
      <c r="AN304" s="191">
        <f t="shared" si="393"/>
        <v>0</v>
      </c>
      <c r="AO304" s="193">
        <f>Z304*S304</f>
        <v>0</v>
      </c>
      <c r="AP304" s="193">
        <f>Z304*T304</f>
        <v>0</v>
      </c>
      <c r="AQ304" s="193">
        <f>AA304</f>
        <v>3942</v>
      </c>
      <c r="AR304" s="193">
        <f>W304*S304</f>
        <v>405.8</v>
      </c>
      <c r="AS304" s="193">
        <f>W304*T304</f>
        <v>0</v>
      </c>
      <c r="AT304" s="197">
        <f t="shared" si="394"/>
        <v>4058</v>
      </c>
      <c r="AU304" s="197">
        <f t="shared" si="394"/>
        <v>0</v>
      </c>
      <c r="AV304" s="191"/>
      <c r="AW304" s="236">
        <f>R304*S304</f>
        <v>4058</v>
      </c>
      <c r="AX304" s="236"/>
      <c r="AY304" s="619"/>
      <c r="AZ304" s="619"/>
      <c r="BA304" s="619"/>
    </row>
    <row r="305" spans="2:53" s="69" customFormat="1" ht="63">
      <c r="B305" s="660">
        <f>1+B304</f>
        <v>196</v>
      </c>
      <c r="C305" s="185" t="s">
        <v>1160</v>
      </c>
      <c r="D305" s="186"/>
      <c r="E305" s="660" t="s">
        <v>1161</v>
      </c>
      <c r="F305" s="660">
        <v>4</v>
      </c>
      <c r="G305" s="187">
        <v>4058</v>
      </c>
      <c r="H305" s="687"/>
      <c r="I305" s="187"/>
      <c r="J305" s="687"/>
      <c r="K305" s="187"/>
      <c r="L305" s="187"/>
      <c r="M305" s="687"/>
      <c r="N305" s="187"/>
      <c r="O305" s="687"/>
      <c r="P305" s="187"/>
      <c r="Q305" s="187"/>
      <c r="R305" s="187">
        <f>G305+I305+K305+L305+N305+P305+Q305</f>
        <v>4058</v>
      </c>
      <c r="S305" s="187">
        <v>1</v>
      </c>
      <c r="T305" s="187"/>
      <c r="U305" s="187"/>
      <c r="V305" s="688">
        <v>0.1</v>
      </c>
      <c r="W305" s="187">
        <f>R305*V305</f>
        <v>405.8</v>
      </c>
      <c r="X305" s="674"/>
      <c r="Y305" s="688"/>
      <c r="Z305" s="187"/>
      <c r="AA305" s="187">
        <f>AH305</f>
        <v>3942</v>
      </c>
      <c r="AB305" s="187">
        <f>(R305+Z305+U305+W305)*S305+AA305</f>
        <v>8405.7999999999993</v>
      </c>
      <c r="AC305" s="689">
        <f>AF305</f>
        <v>0</v>
      </c>
      <c r="AD305" s="689">
        <f>AB305+AC305</f>
        <v>8405.7999999999993</v>
      </c>
      <c r="AE305" s="190">
        <f>AB305</f>
        <v>8405.7999999999993</v>
      </c>
      <c r="AF305" s="190">
        <f>AE305-AB305</f>
        <v>0</v>
      </c>
      <c r="AG305" s="689">
        <f>8000*S305</f>
        <v>8000</v>
      </c>
      <c r="AH305" s="190">
        <f>AG305-(R305*S305)</f>
        <v>3942</v>
      </c>
      <c r="AI305" s="191">
        <f>G305*S305</f>
        <v>4058</v>
      </c>
      <c r="AJ305" s="191">
        <f>G305*T305</f>
        <v>0</v>
      </c>
      <c r="AK305" s="191">
        <f>R305*S305</f>
        <v>4058</v>
      </c>
      <c r="AL305" s="191">
        <f>R305*T305</f>
        <v>0</v>
      </c>
      <c r="AM305" s="191">
        <f t="shared" si="393"/>
        <v>0</v>
      </c>
      <c r="AN305" s="191">
        <f t="shared" si="393"/>
        <v>0</v>
      </c>
      <c r="AO305" s="193">
        <f>Z305*S305</f>
        <v>0</v>
      </c>
      <c r="AP305" s="193">
        <f>Z305*T305</f>
        <v>0</v>
      </c>
      <c r="AQ305" s="193">
        <f>AA305</f>
        <v>3942</v>
      </c>
      <c r="AR305" s="193">
        <f>W305*S305</f>
        <v>405.8</v>
      </c>
      <c r="AS305" s="193">
        <f>W305*T305</f>
        <v>0</v>
      </c>
      <c r="AT305" s="197">
        <f t="shared" si="394"/>
        <v>4058</v>
      </c>
      <c r="AU305" s="197">
        <f t="shared" si="394"/>
        <v>0</v>
      </c>
      <c r="AV305" s="191"/>
      <c r="AW305" s="236">
        <f>R305*S305</f>
        <v>4058</v>
      </c>
      <c r="AX305" s="236"/>
      <c r="AY305" s="619"/>
      <c r="AZ305" s="619"/>
      <c r="BA305" s="619"/>
    </row>
    <row r="306" spans="2:53" s="69" customFormat="1" ht="31.5">
      <c r="B306" s="660"/>
      <c r="C306" s="168" t="s">
        <v>1662</v>
      </c>
      <c r="D306" s="195"/>
      <c r="E306" s="181"/>
      <c r="F306" s="181"/>
      <c r="G306" s="171">
        <f>SUM(G302:G305)</f>
        <v>16232</v>
      </c>
      <c r="H306" s="682"/>
      <c r="I306" s="181"/>
      <c r="J306" s="682"/>
      <c r="K306" s="181"/>
      <c r="L306" s="181"/>
      <c r="M306" s="682"/>
      <c r="N306" s="181"/>
      <c r="O306" s="682"/>
      <c r="P306" s="181"/>
      <c r="Q306" s="181"/>
      <c r="R306" s="171">
        <f>SUM(R302:R305)</f>
        <v>16232</v>
      </c>
      <c r="S306" s="171">
        <f>SUM(S302:S305)</f>
        <v>4</v>
      </c>
      <c r="T306" s="171">
        <f>SUM(T302:T305)</f>
        <v>0</v>
      </c>
      <c r="U306" s="171"/>
      <c r="V306" s="693"/>
      <c r="W306" s="171">
        <f>SUM(W302:W305)</f>
        <v>1623.2</v>
      </c>
      <c r="X306" s="693"/>
      <c r="Y306" s="693"/>
      <c r="Z306" s="171"/>
      <c r="AA306" s="171">
        <f>SUM(AA302:AA305)</f>
        <v>15768</v>
      </c>
      <c r="AB306" s="171">
        <f>SUM(AB302:AB305)</f>
        <v>33623.199999999997</v>
      </c>
      <c r="AC306" s="171">
        <f>SUM(AC302:AC305)</f>
        <v>0</v>
      </c>
      <c r="AD306" s="171">
        <f>SUM(AD302:AD305)</f>
        <v>33623.199999999997</v>
      </c>
      <c r="AE306" s="171">
        <f t="shared" ref="AE306:AV306" si="395">SUM(AE302:AE305)</f>
        <v>33623.199999999997</v>
      </c>
      <c r="AF306" s="171">
        <f t="shared" si="395"/>
        <v>0</v>
      </c>
      <c r="AG306" s="171">
        <f t="shared" si="395"/>
        <v>32000</v>
      </c>
      <c r="AH306" s="171">
        <f t="shared" si="395"/>
        <v>15768</v>
      </c>
      <c r="AI306" s="171">
        <f t="shared" si="395"/>
        <v>16232</v>
      </c>
      <c r="AJ306" s="171">
        <f t="shared" si="395"/>
        <v>0</v>
      </c>
      <c r="AK306" s="171">
        <f t="shared" si="395"/>
        <v>16232</v>
      </c>
      <c r="AL306" s="171">
        <f t="shared" si="395"/>
        <v>0</v>
      </c>
      <c r="AM306" s="171">
        <f t="shared" si="395"/>
        <v>0</v>
      </c>
      <c r="AN306" s="171">
        <f t="shared" si="395"/>
        <v>0</v>
      </c>
      <c r="AO306" s="171">
        <f t="shared" si="395"/>
        <v>0</v>
      </c>
      <c r="AP306" s="171">
        <f t="shared" si="395"/>
        <v>0</v>
      </c>
      <c r="AQ306" s="171">
        <f t="shared" si="395"/>
        <v>15768</v>
      </c>
      <c r="AR306" s="171">
        <f t="shared" si="395"/>
        <v>1623.2</v>
      </c>
      <c r="AS306" s="171">
        <f t="shared" si="395"/>
        <v>0</v>
      </c>
      <c r="AT306" s="171">
        <f t="shared" si="395"/>
        <v>16232</v>
      </c>
      <c r="AU306" s="171">
        <f t="shared" si="395"/>
        <v>0</v>
      </c>
      <c r="AV306" s="171">
        <f t="shared" si="395"/>
        <v>0</v>
      </c>
      <c r="AW306" s="171">
        <f>SUM(AW302:AW305)</f>
        <v>16232</v>
      </c>
      <c r="AX306" s="171">
        <f>SUM(AX302:AX305)</f>
        <v>0</v>
      </c>
      <c r="AY306" s="619"/>
      <c r="AZ306" s="619"/>
      <c r="BA306" s="619"/>
    </row>
    <row r="307" spans="2:53" s="69" customFormat="1" ht="31.5">
      <c r="B307" s="660"/>
      <c r="C307" s="168" t="s">
        <v>1223</v>
      </c>
      <c r="D307" s="195"/>
      <c r="E307" s="181"/>
      <c r="F307" s="181"/>
      <c r="G307" s="173">
        <f>G275+G285+G292+G300+G306</f>
        <v>173041</v>
      </c>
      <c r="H307" s="704"/>
      <c r="I307" s="173">
        <f t="shared" ref="I307:AB307" si="396">I275+I285+I292+I300+I306</f>
        <v>2126.1999999999998</v>
      </c>
      <c r="J307" s="704"/>
      <c r="K307" s="173">
        <f t="shared" si="396"/>
        <v>7587.25</v>
      </c>
      <c r="L307" s="173"/>
      <c r="M307" s="704"/>
      <c r="N307" s="173"/>
      <c r="O307" s="704"/>
      <c r="P307" s="173"/>
      <c r="Q307" s="173"/>
      <c r="R307" s="173">
        <f t="shared" si="396"/>
        <v>182754.44999999998</v>
      </c>
      <c r="S307" s="171">
        <f t="shared" si="396"/>
        <v>28.25</v>
      </c>
      <c r="T307" s="171">
        <f t="shared" si="396"/>
        <v>1.25</v>
      </c>
      <c r="U307" s="173">
        <f t="shared" si="396"/>
        <v>0</v>
      </c>
      <c r="V307" s="704">
        <f t="shared" si="396"/>
        <v>0</v>
      </c>
      <c r="W307" s="173">
        <f t="shared" si="396"/>
        <v>3885.2</v>
      </c>
      <c r="X307" s="704">
        <f t="shared" si="396"/>
        <v>0</v>
      </c>
      <c r="Y307" s="704">
        <f t="shared" si="396"/>
        <v>0</v>
      </c>
      <c r="Z307" s="173">
        <f t="shared" si="396"/>
        <v>28652.425000000003</v>
      </c>
      <c r="AA307" s="173">
        <f t="shared" si="396"/>
        <v>55660.39</v>
      </c>
      <c r="AB307" s="173">
        <f t="shared" si="396"/>
        <v>249615.03999999998</v>
      </c>
      <c r="AC307" s="173">
        <f>AC275+AC285+AC292+AC300+AC306</f>
        <v>146270.16</v>
      </c>
      <c r="AD307" s="173">
        <f>AD275+AD285+AD292+AD300+AD306</f>
        <v>395885.2</v>
      </c>
      <c r="AE307" s="173">
        <f t="shared" ref="AE307:AV307" si="397">AE275+AE285+AE292+AE300+AE306</f>
        <v>395885.2</v>
      </c>
      <c r="AF307" s="173">
        <f t="shared" si="397"/>
        <v>146270.16</v>
      </c>
      <c r="AG307" s="173">
        <f>AG275+AG285+AG292+AG300+AG306</f>
        <v>236000</v>
      </c>
      <c r="AH307" s="173">
        <f t="shared" si="397"/>
        <v>45930.55</v>
      </c>
      <c r="AI307" s="173">
        <f t="shared" si="397"/>
        <v>136529.5</v>
      </c>
      <c r="AJ307" s="173">
        <f t="shared" si="397"/>
        <v>31686.25</v>
      </c>
      <c r="AK307" s="173">
        <f t="shared" si="397"/>
        <v>146242.94999999998</v>
      </c>
      <c r="AL307" s="173">
        <f t="shared" si="397"/>
        <v>31686.25</v>
      </c>
      <c r="AM307" s="173">
        <f t="shared" si="397"/>
        <v>9713.4500000000007</v>
      </c>
      <c r="AN307" s="173">
        <f t="shared" si="397"/>
        <v>0</v>
      </c>
      <c r="AO307" s="173">
        <f t="shared" si="397"/>
        <v>22850.025000000001</v>
      </c>
      <c r="AP307" s="173">
        <f t="shared" si="397"/>
        <v>2357.2250000000004</v>
      </c>
      <c r="AQ307" s="173">
        <f t="shared" si="397"/>
        <v>49213.39</v>
      </c>
      <c r="AR307" s="173">
        <f t="shared" si="397"/>
        <v>3885.2</v>
      </c>
      <c r="AS307" s="173">
        <f t="shared" si="397"/>
        <v>2262</v>
      </c>
      <c r="AT307" s="173">
        <f t="shared" si="397"/>
        <v>146242.94999999998</v>
      </c>
      <c r="AU307" s="173">
        <f t="shared" si="397"/>
        <v>31686.25</v>
      </c>
      <c r="AV307" s="173">
        <f t="shared" si="397"/>
        <v>0</v>
      </c>
      <c r="AW307" s="173">
        <f>AW275+AW285+AW292+AW300+AW306</f>
        <v>164862.19999999998</v>
      </c>
      <c r="AX307" s="173">
        <f>AX275+AX285+AX292+AX300+AX306</f>
        <v>0</v>
      </c>
      <c r="AY307" s="619"/>
      <c r="AZ307" s="619"/>
      <c r="BA307" s="619"/>
    </row>
    <row r="308" spans="2:53" s="69" customFormat="1" ht="61.5">
      <c r="B308" s="660"/>
      <c r="C308" s="179" t="s">
        <v>1701</v>
      </c>
      <c r="D308" s="180"/>
      <c r="E308" s="181"/>
      <c r="F308" s="181"/>
      <c r="G308" s="181"/>
      <c r="H308" s="682"/>
      <c r="I308" s="181"/>
      <c r="J308" s="682"/>
      <c r="K308" s="181"/>
      <c r="L308" s="181"/>
      <c r="M308" s="682"/>
      <c r="N308" s="181"/>
      <c r="O308" s="682"/>
      <c r="P308" s="181"/>
      <c r="Q308" s="181"/>
      <c r="R308" s="181"/>
      <c r="S308" s="181"/>
      <c r="T308" s="181"/>
      <c r="U308" s="181"/>
      <c r="V308" s="683"/>
      <c r="W308" s="181"/>
      <c r="X308" s="683"/>
      <c r="Y308" s="683"/>
      <c r="Z308" s="181"/>
      <c r="AA308" s="181"/>
      <c r="AB308" s="181"/>
      <c r="AC308" s="183"/>
      <c r="AD308" s="183"/>
      <c r="AE308" s="183"/>
      <c r="AF308" s="183"/>
      <c r="AG308" s="183"/>
      <c r="AH308" s="183"/>
      <c r="AI308" s="191"/>
      <c r="AJ308" s="191"/>
      <c r="AK308" s="191"/>
      <c r="AL308" s="191"/>
      <c r="AM308" s="191"/>
      <c r="AN308" s="191"/>
      <c r="AO308" s="193"/>
      <c r="AP308" s="193"/>
      <c r="AQ308" s="193"/>
      <c r="AR308" s="193"/>
      <c r="AS308" s="193"/>
      <c r="AT308" s="197"/>
      <c r="AU308" s="197"/>
      <c r="AV308" s="191"/>
      <c r="AW308" s="236"/>
      <c r="AX308" s="236"/>
      <c r="AY308" s="619"/>
      <c r="AZ308" s="619"/>
      <c r="BA308" s="619"/>
    </row>
    <row r="309" spans="2:53" s="69" customFormat="1" ht="33">
      <c r="B309" s="660"/>
      <c r="C309" s="208" t="s">
        <v>1309</v>
      </c>
      <c r="D309" s="205"/>
      <c r="E309" s="206"/>
      <c r="F309" s="206"/>
      <c r="G309" s="206"/>
      <c r="H309" s="696"/>
      <c r="I309" s="206"/>
      <c r="J309" s="696"/>
      <c r="K309" s="206"/>
      <c r="L309" s="206"/>
      <c r="M309" s="696"/>
      <c r="N309" s="206"/>
      <c r="O309" s="696"/>
      <c r="P309" s="206"/>
      <c r="Q309" s="206"/>
      <c r="R309" s="206"/>
      <c r="S309" s="206"/>
      <c r="T309" s="206"/>
      <c r="U309" s="206"/>
      <c r="V309" s="697"/>
      <c r="W309" s="206"/>
      <c r="X309" s="697"/>
      <c r="Y309" s="697"/>
      <c r="Z309" s="206"/>
      <c r="AA309" s="206"/>
      <c r="AB309" s="206"/>
      <c r="AC309" s="207"/>
      <c r="AD309" s="207"/>
      <c r="AE309" s="207"/>
      <c r="AF309" s="207"/>
      <c r="AG309" s="207"/>
      <c r="AH309" s="207"/>
      <c r="AI309" s="191"/>
      <c r="AJ309" s="191"/>
      <c r="AK309" s="191"/>
      <c r="AL309" s="191"/>
      <c r="AM309" s="191"/>
      <c r="AN309" s="191"/>
      <c r="AO309" s="193"/>
      <c r="AP309" s="193"/>
      <c r="AQ309" s="193"/>
      <c r="AR309" s="193"/>
      <c r="AS309" s="193"/>
      <c r="AT309" s="197"/>
      <c r="AU309" s="197"/>
      <c r="AV309" s="191"/>
      <c r="AW309" s="236"/>
      <c r="AX309" s="236"/>
      <c r="AY309" s="619"/>
      <c r="AZ309" s="619"/>
      <c r="BA309" s="619"/>
    </row>
    <row r="310" spans="2:53" s="69" customFormat="1" ht="63">
      <c r="B310" s="660">
        <f>B305+1</f>
        <v>197</v>
      </c>
      <c r="C310" s="185" t="s">
        <v>292</v>
      </c>
      <c r="D310" s="186" t="s">
        <v>293</v>
      </c>
      <c r="E310" s="660" t="s">
        <v>113</v>
      </c>
      <c r="F310" s="660">
        <v>14</v>
      </c>
      <c r="G310" s="187">
        <v>7732</v>
      </c>
      <c r="H310" s="688">
        <v>0.2</v>
      </c>
      <c r="I310" s="187">
        <f>G310*H310</f>
        <v>1546.4</v>
      </c>
      <c r="J310" s="688"/>
      <c r="K310" s="187"/>
      <c r="L310" s="187"/>
      <c r="M310" s="674"/>
      <c r="N310" s="181"/>
      <c r="O310" s="688">
        <v>0.15</v>
      </c>
      <c r="P310" s="187">
        <f t="shared" ref="P310:P318" si="398">G310*O310</f>
        <v>1159.8</v>
      </c>
      <c r="Q310" s="189"/>
      <c r="R310" s="187">
        <f t="shared" ref="R310:R318" si="399">G310+I310+K310+L310+N310+P310+Q310</f>
        <v>10438.199999999999</v>
      </c>
      <c r="S310" s="187">
        <v>1</v>
      </c>
      <c r="T310" s="660"/>
      <c r="U310" s="660"/>
      <c r="V310" s="688"/>
      <c r="W310" s="660"/>
      <c r="X310" s="674">
        <v>29</v>
      </c>
      <c r="Y310" s="688">
        <v>0.3</v>
      </c>
      <c r="Z310" s="187">
        <f t="shared" ref="Z310:Z318" si="400">R310*Y310</f>
        <v>3131.4599999999996</v>
      </c>
      <c r="AA310" s="187"/>
      <c r="AB310" s="187">
        <f t="shared" ref="AB310:AB316" si="401">(R310+Z310)*S310+AA310</f>
        <v>13569.659999999998</v>
      </c>
      <c r="AC310" s="689">
        <f t="shared" ref="AC310:AC318" si="402">AF310</f>
        <v>6430.340000000002</v>
      </c>
      <c r="AD310" s="689">
        <f t="shared" ref="AD310:AD318" si="403">AB310+AC310</f>
        <v>20000</v>
      </c>
      <c r="AE310" s="190">
        <f t="shared" ref="AE310:AE316" si="404">20000*S310</f>
        <v>20000</v>
      </c>
      <c r="AF310" s="190">
        <f>AE310-AB310</f>
        <v>6430.340000000002</v>
      </c>
      <c r="AG310" s="689">
        <f>8000*S310</f>
        <v>8000</v>
      </c>
      <c r="AH310" s="190">
        <f t="shared" ref="AH310:AH316" si="405">AG310-(R310+Z310)*S310</f>
        <v>-5569.659999999998</v>
      </c>
      <c r="AI310" s="191">
        <f t="shared" ref="AI310:AI318" si="406">G310*S310</f>
        <v>7732</v>
      </c>
      <c r="AJ310" s="191">
        <f t="shared" ref="AJ310:AJ318" si="407">G310*T310</f>
        <v>0</v>
      </c>
      <c r="AK310" s="191">
        <f>R310*S310</f>
        <v>10438.199999999999</v>
      </c>
      <c r="AL310" s="191">
        <f>R310*T310</f>
        <v>0</v>
      </c>
      <c r="AM310" s="191">
        <f>AK310-AI310</f>
        <v>2706.1999999999989</v>
      </c>
      <c r="AN310" s="191">
        <f>AL310-AJ310</f>
        <v>0</v>
      </c>
      <c r="AO310" s="193">
        <f>Z310*S310</f>
        <v>3131.4599999999996</v>
      </c>
      <c r="AP310" s="193">
        <f>Z310*T310</f>
        <v>0</v>
      </c>
      <c r="AQ310" s="193">
        <f>AA310</f>
        <v>0</v>
      </c>
      <c r="AR310" s="193">
        <f>W310*S310</f>
        <v>0</v>
      </c>
      <c r="AS310" s="193">
        <f>W310*T310</f>
        <v>0</v>
      </c>
      <c r="AT310" s="197">
        <f t="shared" si="394"/>
        <v>10438.199999999999</v>
      </c>
      <c r="AU310" s="197">
        <f t="shared" si="394"/>
        <v>0</v>
      </c>
      <c r="AV310" s="191"/>
      <c r="AW310" s="236">
        <f>R310*S310</f>
        <v>10438.199999999999</v>
      </c>
      <c r="AX310" s="236"/>
      <c r="AY310" s="619"/>
      <c r="AZ310" s="619"/>
      <c r="BA310" s="619"/>
    </row>
    <row r="311" spans="2:53" s="69" customFormat="1" ht="33">
      <c r="B311" s="660">
        <f>B310+1</f>
        <v>198</v>
      </c>
      <c r="C311" s="185" t="s">
        <v>1287</v>
      </c>
      <c r="D311" s="186"/>
      <c r="E311" s="186" t="s">
        <v>1667</v>
      </c>
      <c r="F311" s="660">
        <v>12</v>
      </c>
      <c r="G311" s="187">
        <v>6773</v>
      </c>
      <c r="H311" s="674"/>
      <c r="I311" s="660"/>
      <c r="J311" s="674"/>
      <c r="K311" s="660"/>
      <c r="L311" s="660"/>
      <c r="M311" s="674"/>
      <c r="N311" s="181"/>
      <c r="O311" s="688">
        <v>0.15</v>
      </c>
      <c r="P311" s="187">
        <f t="shared" si="398"/>
        <v>1015.9499999999999</v>
      </c>
      <c r="Q311" s="189"/>
      <c r="R311" s="187">
        <f t="shared" si="399"/>
        <v>7788.95</v>
      </c>
      <c r="S311" s="187"/>
      <c r="T311" s="187">
        <v>0.5</v>
      </c>
      <c r="U311" s="660"/>
      <c r="V311" s="688"/>
      <c r="W311" s="660"/>
      <c r="X311" s="674"/>
      <c r="Y311" s="688"/>
      <c r="Z311" s="187">
        <f t="shared" si="400"/>
        <v>0</v>
      </c>
      <c r="AA311" s="187">
        <f>AH311</f>
        <v>105.52500000000009</v>
      </c>
      <c r="AB311" s="187">
        <f>(R311+Z311)*T311+AA311</f>
        <v>4000</v>
      </c>
      <c r="AC311" s="689">
        <f t="shared" si="402"/>
        <v>6000</v>
      </c>
      <c r="AD311" s="689">
        <f t="shared" si="403"/>
        <v>10000</v>
      </c>
      <c r="AE311" s="190">
        <f>20000*T311</f>
        <v>10000</v>
      </c>
      <c r="AF311" s="190">
        <f>AE311-AB311</f>
        <v>6000</v>
      </c>
      <c r="AG311" s="689">
        <f>8000*T311</f>
        <v>4000</v>
      </c>
      <c r="AH311" s="190">
        <f>AG311-(R311+Z311)*T311</f>
        <v>105.52500000000009</v>
      </c>
      <c r="AI311" s="191">
        <f t="shared" si="406"/>
        <v>0</v>
      </c>
      <c r="AJ311" s="191">
        <f t="shared" si="407"/>
        <v>3386.5</v>
      </c>
      <c r="AK311" s="191">
        <f>R311*S311</f>
        <v>0</v>
      </c>
      <c r="AL311" s="191">
        <f>R311*T311</f>
        <v>3894.4749999999999</v>
      </c>
      <c r="AM311" s="191">
        <f>AK311-AI311</f>
        <v>0</v>
      </c>
      <c r="AN311" s="191">
        <f>AL311-AJ311</f>
        <v>507.97499999999991</v>
      </c>
      <c r="AO311" s="193">
        <f>Z311*S311</f>
        <v>0</v>
      </c>
      <c r="AP311" s="193">
        <f>Z311*T311</f>
        <v>0</v>
      </c>
      <c r="AQ311" s="193">
        <f>AA311</f>
        <v>105.52500000000009</v>
      </c>
      <c r="AR311" s="193">
        <f>W311*S311</f>
        <v>0</v>
      </c>
      <c r="AS311" s="193">
        <f>W311*T311</f>
        <v>0</v>
      </c>
      <c r="AT311" s="197">
        <f t="shared" si="394"/>
        <v>0</v>
      </c>
      <c r="AU311" s="197">
        <f t="shared" si="394"/>
        <v>3894.4749999999999</v>
      </c>
      <c r="AV311" s="191"/>
      <c r="AW311" s="236">
        <f>R311*T311</f>
        <v>3894.4749999999999</v>
      </c>
      <c r="AX311" s="236"/>
      <c r="AY311" s="619"/>
      <c r="AZ311" s="619"/>
      <c r="BA311" s="619"/>
    </row>
    <row r="312" spans="2:53" s="69" customFormat="1" ht="33">
      <c r="B312" s="660">
        <f>B311+1</f>
        <v>199</v>
      </c>
      <c r="C312" s="185" t="s">
        <v>1007</v>
      </c>
      <c r="D312" s="186"/>
      <c r="E312" s="186" t="s">
        <v>1667</v>
      </c>
      <c r="F312" s="660">
        <v>11</v>
      </c>
      <c r="G312" s="187">
        <v>6294</v>
      </c>
      <c r="H312" s="674"/>
      <c r="I312" s="660"/>
      <c r="J312" s="674"/>
      <c r="K312" s="660"/>
      <c r="L312" s="660"/>
      <c r="M312" s="674"/>
      <c r="N312" s="181"/>
      <c r="O312" s="688">
        <v>0.15</v>
      </c>
      <c r="P312" s="187">
        <f t="shared" si="398"/>
        <v>944.09999999999991</v>
      </c>
      <c r="Q312" s="189"/>
      <c r="R312" s="187">
        <f t="shared" si="399"/>
        <v>7238.1</v>
      </c>
      <c r="S312" s="187">
        <v>1.75</v>
      </c>
      <c r="T312" s="187"/>
      <c r="U312" s="660"/>
      <c r="V312" s="688"/>
      <c r="W312" s="660"/>
      <c r="X312" s="674"/>
      <c r="Y312" s="688"/>
      <c r="Z312" s="187">
        <f t="shared" si="400"/>
        <v>0</v>
      </c>
      <c r="AA312" s="187">
        <f>AH312</f>
        <v>1333.3249999999989</v>
      </c>
      <c r="AB312" s="187">
        <f t="shared" si="401"/>
        <v>14000</v>
      </c>
      <c r="AC312" s="689">
        <f t="shared" si="402"/>
        <v>21000</v>
      </c>
      <c r="AD312" s="689">
        <f t="shared" si="403"/>
        <v>35000</v>
      </c>
      <c r="AE312" s="190">
        <f t="shared" si="404"/>
        <v>35000</v>
      </c>
      <c r="AF312" s="190">
        <f t="shared" ref="AF312:AF318" si="408">AE312-AB312</f>
        <v>21000</v>
      </c>
      <c r="AG312" s="689">
        <f>8000*S312</f>
        <v>14000</v>
      </c>
      <c r="AH312" s="190">
        <f t="shared" si="405"/>
        <v>1333.3249999999989</v>
      </c>
      <c r="AI312" s="191"/>
      <c r="AJ312" s="191"/>
      <c r="AK312" s="191"/>
      <c r="AL312" s="191"/>
      <c r="AM312" s="191"/>
      <c r="AN312" s="191"/>
      <c r="AO312" s="193"/>
      <c r="AP312" s="193"/>
      <c r="AQ312" s="193"/>
      <c r="AR312" s="193"/>
      <c r="AS312" s="193"/>
      <c r="AT312" s="197"/>
      <c r="AU312" s="197"/>
      <c r="AV312" s="191"/>
      <c r="AW312" s="236">
        <f>R312*S312</f>
        <v>12666.675000000001</v>
      </c>
      <c r="AX312" s="236"/>
      <c r="AY312" s="619"/>
      <c r="AZ312" s="619"/>
      <c r="BA312" s="619"/>
    </row>
    <row r="313" spans="2:53" s="69" customFormat="1" ht="58.5">
      <c r="B313" s="660">
        <f>B312+1</f>
        <v>200</v>
      </c>
      <c r="C313" s="185" t="s">
        <v>1007</v>
      </c>
      <c r="D313" s="186" t="s">
        <v>294</v>
      </c>
      <c r="E313" s="660" t="s">
        <v>1018</v>
      </c>
      <c r="F313" s="660">
        <v>14</v>
      </c>
      <c r="G313" s="187">
        <v>7732</v>
      </c>
      <c r="H313" s="674"/>
      <c r="I313" s="660"/>
      <c r="J313" s="674"/>
      <c r="K313" s="660"/>
      <c r="L313" s="660"/>
      <c r="M313" s="674"/>
      <c r="N313" s="181"/>
      <c r="O313" s="688">
        <v>0.15</v>
      </c>
      <c r="P313" s="187">
        <f t="shared" si="398"/>
        <v>1159.8</v>
      </c>
      <c r="Q313" s="189"/>
      <c r="R313" s="187">
        <f t="shared" si="399"/>
        <v>8891.7999999999993</v>
      </c>
      <c r="S313" s="187">
        <v>1</v>
      </c>
      <c r="T313" s="660"/>
      <c r="U313" s="660"/>
      <c r="V313" s="688"/>
      <c r="W313" s="660"/>
      <c r="X313" s="674">
        <v>23</v>
      </c>
      <c r="Y313" s="688">
        <v>0.3</v>
      </c>
      <c r="Z313" s="187">
        <f t="shared" si="400"/>
        <v>2667.5399999999995</v>
      </c>
      <c r="AA313" s="187"/>
      <c r="AB313" s="187">
        <f t="shared" si="401"/>
        <v>11559.339999999998</v>
      </c>
      <c r="AC313" s="689">
        <f t="shared" si="402"/>
        <v>8440.6600000000017</v>
      </c>
      <c r="AD313" s="689">
        <f t="shared" si="403"/>
        <v>20000</v>
      </c>
      <c r="AE313" s="190">
        <f t="shared" si="404"/>
        <v>20000</v>
      </c>
      <c r="AF313" s="190">
        <f t="shared" si="408"/>
        <v>8440.6600000000017</v>
      </c>
      <c r="AG313" s="689">
        <f>8000*S313</f>
        <v>8000</v>
      </c>
      <c r="AH313" s="190">
        <f t="shared" si="405"/>
        <v>-3559.3399999999983</v>
      </c>
      <c r="AI313" s="191">
        <f>G313*S313</f>
        <v>7732</v>
      </c>
      <c r="AJ313" s="191">
        <f>G313*T313</f>
        <v>0</v>
      </c>
      <c r="AK313" s="191">
        <f>R313*S313</f>
        <v>8891.7999999999993</v>
      </c>
      <c r="AL313" s="191">
        <f>R313*T313</f>
        <v>0</v>
      </c>
      <c r="AM313" s="191">
        <f t="shared" ref="AM313:AN315" si="409">AK313-AI313</f>
        <v>1159.7999999999993</v>
      </c>
      <c r="AN313" s="191">
        <f t="shared" si="409"/>
        <v>0</v>
      </c>
      <c r="AO313" s="193">
        <f>Z313*S313</f>
        <v>2667.5399999999995</v>
      </c>
      <c r="AP313" s="193">
        <f>Z313*T313</f>
        <v>0</v>
      </c>
      <c r="AQ313" s="193">
        <f>AA313</f>
        <v>0</v>
      </c>
      <c r="AR313" s="193">
        <f>W313*S313</f>
        <v>0</v>
      </c>
      <c r="AS313" s="193">
        <f>W313*T313</f>
        <v>0</v>
      </c>
      <c r="AT313" s="197">
        <f t="shared" si="394"/>
        <v>8891.7999999999993</v>
      </c>
      <c r="AU313" s="197">
        <f t="shared" si="394"/>
        <v>0</v>
      </c>
      <c r="AV313" s="191"/>
      <c r="AW313" s="236">
        <f>R313*S313</f>
        <v>8891.7999999999993</v>
      </c>
      <c r="AX313" s="236"/>
      <c r="AY313" s="619"/>
      <c r="AZ313" s="619"/>
      <c r="BA313" s="619"/>
    </row>
    <row r="314" spans="2:53" s="69" customFormat="1" ht="58.5">
      <c r="B314" s="660">
        <f>1+B313</f>
        <v>201</v>
      </c>
      <c r="C314" s="185" t="s">
        <v>1007</v>
      </c>
      <c r="D314" s="186" t="s">
        <v>294</v>
      </c>
      <c r="E314" s="660" t="s">
        <v>1018</v>
      </c>
      <c r="F314" s="660">
        <v>14</v>
      </c>
      <c r="G314" s="187">
        <v>7732</v>
      </c>
      <c r="H314" s="674"/>
      <c r="I314" s="660"/>
      <c r="J314" s="674"/>
      <c r="K314" s="660"/>
      <c r="L314" s="660"/>
      <c r="M314" s="674"/>
      <c r="N314" s="181"/>
      <c r="O314" s="688">
        <v>0.15</v>
      </c>
      <c r="P314" s="187">
        <f t="shared" si="398"/>
        <v>1159.8</v>
      </c>
      <c r="Q314" s="189"/>
      <c r="R314" s="187">
        <f t="shared" si="399"/>
        <v>8891.7999999999993</v>
      </c>
      <c r="S314" s="187"/>
      <c r="T314" s="187">
        <v>0.25</v>
      </c>
      <c r="U314" s="660"/>
      <c r="V314" s="688"/>
      <c r="W314" s="660"/>
      <c r="X314" s="674">
        <v>23</v>
      </c>
      <c r="Y314" s="688">
        <v>0.3</v>
      </c>
      <c r="Z314" s="187">
        <f t="shared" si="400"/>
        <v>2667.5399999999995</v>
      </c>
      <c r="AA314" s="187"/>
      <c r="AB314" s="187">
        <f>(R314+Z314)*T314+AA314</f>
        <v>2889.8349999999996</v>
      </c>
      <c r="AC314" s="689">
        <f t="shared" si="402"/>
        <v>2110.1650000000004</v>
      </c>
      <c r="AD314" s="689">
        <f t="shared" si="403"/>
        <v>5000</v>
      </c>
      <c r="AE314" s="190">
        <f>20000*T314</f>
        <v>5000</v>
      </c>
      <c r="AF314" s="190">
        <f t="shared" si="408"/>
        <v>2110.1650000000004</v>
      </c>
      <c r="AG314" s="689">
        <f>8000*T314</f>
        <v>2000</v>
      </c>
      <c r="AH314" s="190">
        <f>AG314-(R314+Z314)*T314</f>
        <v>-889.83499999999958</v>
      </c>
      <c r="AI314" s="191">
        <f t="shared" si="406"/>
        <v>0</v>
      </c>
      <c r="AJ314" s="191">
        <f t="shared" si="407"/>
        <v>1933</v>
      </c>
      <c r="AK314" s="191">
        <f>R314*S314</f>
        <v>0</v>
      </c>
      <c r="AL314" s="191">
        <f>R314*T314</f>
        <v>2222.9499999999998</v>
      </c>
      <c r="AM314" s="191">
        <f t="shared" si="409"/>
        <v>0</v>
      </c>
      <c r="AN314" s="191">
        <f t="shared" si="409"/>
        <v>289.94999999999982</v>
      </c>
      <c r="AO314" s="193">
        <f>Z314*S314</f>
        <v>0</v>
      </c>
      <c r="AP314" s="193">
        <f>Z314*T314</f>
        <v>666.88499999999988</v>
      </c>
      <c r="AQ314" s="193">
        <f>AA314</f>
        <v>0</v>
      </c>
      <c r="AR314" s="193">
        <f>W314*S314</f>
        <v>0</v>
      </c>
      <c r="AS314" s="193">
        <f>W314*T314</f>
        <v>0</v>
      </c>
      <c r="AT314" s="197">
        <f t="shared" si="394"/>
        <v>0</v>
      </c>
      <c r="AU314" s="197">
        <f t="shared" si="394"/>
        <v>2222.9499999999998</v>
      </c>
      <c r="AV314" s="191"/>
      <c r="AW314" s="236">
        <f>R314*T314</f>
        <v>2222.9499999999998</v>
      </c>
      <c r="AX314" s="236"/>
      <c r="AY314" s="619"/>
      <c r="AZ314" s="619"/>
      <c r="BA314" s="619"/>
    </row>
    <row r="315" spans="2:53" s="69" customFormat="1" ht="87.75">
      <c r="B315" s="660">
        <f>1+B314</f>
        <v>202</v>
      </c>
      <c r="C315" s="185" t="s">
        <v>1007</v>
      </c>
      <c r="D315" s="186" t="s">
        <v>1702</v>
      </c>
      <c r="E315" s="660" t="s">
        <v>1029</v>
      </c>
      <c r="F315" s="660">
        <v>11</v>
      </c>
      <c r="G315" s="187">
        <v>6294</v>
      </c>
      <c r="H315" s="674"/>
      <c r="I315" s="660"/>
      <c r="J315" s="674"/>
      <c r="K315" s="660"/>
      <c r="L315" s="660"/>
      <c r="M315" s="674"/>
      <c r="N315" s="181"/>
      <c r="O315" s="688">
        <v>0.15</v>
      </c>
      <c r="P315" s="187">
        <f t="shared" si="398"/>
        <v>944.09999999999991</v>
      </c>
      <c r="Q315" s="189"/>
      <c r="R315" s="187">
        <f t="shared" si="399"/>
        <v>7238.1</v>
      </c>
      <c r="S315" s="187">
        <v>0.5</v>
      </c>
      <c r="T315" s="187"/>
      <c r="U315" s="660"/>
      <c r="V315" s="688"/>
      <c r="W315" s="660"/>
      <c r="X315" s="674">
        <v>3</v>
      </c>
      <c r="Y315" s="688">
        <v>0.1</v>
      </c>
      <c r="Z315" s="187">
        <f t="shared" si="400"/>
        <v>723.81000000000006</v>
      </c>
      <c r="AA315" s="187">
        <f>AH315</f>
        <v>19.044999999999618</v>
      </c>
      <c r="AB315" s="187">
        <f t="shared" si="401"/>
        <v>4000</v>
      </c>
      <c r="AC315" s="689">
        <f t="shared" si="402"/>
        <v>6000</v>
      </c>
      <c r="AD315" s="689">
        <f t="shared" si="403"/>
        <v>10000</v>
      </c>
      <c r="AE315" s="190">
        <f t="shared" si="404"/>
        <v>10000</v>
      </c>
      <c r="AF315" s="190">
        <f>AE315-AB315</f>
        <v>6000</v>
      </c>
      <c r="AG315" s="689">
        <f>8000*S315</f>
        <v>4000</v>
      </c>
      <c r="AH315" s="190">
        <f t="shared" si="405"/>
        <v>19.044999999999618</v>
      </c>
      <c r="AI315" s="191">
        <f t="shared" si="406"/>
        <v>3147</v>
      </c>
      <c r="AJ315" s="191">
        <f t="shared" si="407"/>
        <v>0</v>
      </c>
      <c r="AK315" s="191">
        <f>R315*S315</f>
        <v>3619.05</v>
      </c>
      <c r="AL315" s="191">
        <f>R315*T315</f>
        <v>0</v>
      </c>
      <c r="AM315" s="191">
        <f t="shared" si="409"/>
        <v>472.05000000000018</v>
      </c>
      <c r="AN315" s="191">
        <f t="shared" si="409"/>
        <v>0</v>
      </c>
      <c r="AO315" s="193">
        <f>Z315*S315</f>
        <v>361.90500000000003</v>
      </c>
      <c r="AP315" s="193">
        <f>Z315*T315</f>
        <v>0</v>
      </c>
      <c r="AQ315" s="193">
        <f>AA315</f>
        <v>19.044999999999618</v>
      </c>
      <c r="AR315" s="193">
        <f>W315*S315</f>
        <v>0</v>
      </c>
      <c r="AS315" s="193">
        <f>W315*T315</f>
        <v>0</v>
      </c>
      <c r="AT315" s="197">
        <f t="shared" si="394"/>
        <v>3619.05</v>
      </c>
      <c r="AU315" s="197">
        <f t="shared" si="394"/>
        <v>0</v>
      </c>
      <c r="AV315" s="191"/>
      <c r="AW315" s="236">
        <f>R315*S315</f>
        <v>3619.05</v>
      </c>
      <c r="AX315" s="236"/>
      <c r="AY315" s="619"/>
      <c r="AZ315" s="619"/>
      <c r="BA315" s="619"/>
    </row>
    <row r="316" spans="2:53" s="69" customFormat="1" ht="58.5">
      <c r="B316" s="660">
        <f>1+B315</f>
        <v>203</v>
      </c>
      <c r="C316" s="185" t="s">
        <v>1007</v>
      </c>
      <c r="D316" s="186" t="s">
        <v>295</v>
      </c>
      <c r="E316" s="660" t="s">
        <v>114</v>
      </c>
      <c r="F316" s="660">
        <v>11</v>
      </c>
      <c r="G316" s="187">
        <v>6294</v>
      </c>
      <c r="H316" s="674"/>
      <c r="I316" s="660"/>
      <c r="J316" s="674"/>
      <c r="K316" s="660"/>
      <c r="L316" s="660"/>
      <c r="M316" s="674"/>
      <c r="N316" s="181"/>
      <c r="O316" s="688">
        <v>0.15</v>
      </c>
      <c r="P316" s="187">
        <f t="shared" si="398"/>
        <v>944.09999999999991</v>
      </c>
      <c r="Q316" s="189"/>
      <c r="R316" s="187">
        <f t="shared" si="399"/>
        <v>7238.1</v>
      </c>
      <c r="S316" s="187">
        <v>1</v>
      </c>
      <c r="T316" s="187"/>
      <c r="U316" s="660"/>
      <c r="V316" s="688"/>
      <c r="W316" s="660"/>
      <c r="X316" s="674">
        <v>5</v>
      </c>
      <c r="Y316" s="688">
        <v>0.1</v>
      </c>
      <c r="Z316" s="187">
        <f t="shared" si="400"/>
        <v>723.81000000000006</v>
      </c>
      <c r="AA316" s="187">
        <f>AH316</f>
        <v>38.089999999999236</v>
      </c>
      <c r="AB316" s="187">
        <f t="shared" si="401"/>
        <v>8000</v>
      </c>
      <c r="AC316" s="689">
        <f t="shared" si="402"/>
        <v>12000</v>
      </c>
      <c r="AD316" s="689">
        <f t="shared" si="403"/>
        <v>20000</v>
      </c>
      <c r="AE316" s="190">
        <f t="shared" si="404"/>
        <v>20000</v>
      </c>
      <c r="AF316" s="190">
        <f t="shared" si="408"/>
        <v>12000</v>
      </c>
      <c r="AG316" s="689">
        <f>8000*S316</f>
        <v>8000</v>
      </c>
      <c r="AH316" s="190">
        <f t="shared" si="405"/>
        <v>38.089999999999236</v>
      </c>
      <c r="AI316" s="191"/>
      <c r="AJ316" s="191"/>
      <c r="AK316" s="191"/>
      <c r="AL316" s="191"/>
      <c r="AM316" s="191"/>
      <c r="AN316" s="191"/>
      <c r="AO316" s="193"/>
      <c r="AP316" s="193"/>
      <c r="AQ316" s="193"/>
      <c r="AR316" s="193"/>
      <c r="AS316" s="193"/>
      <c r="AT316" s="197"/>
      <c r="AU316" s="197"/>
      <c r="AV316" s="191"/>
      <c r="AW316" s="236">
        <f>R316*S316</f>
        <v>7238.1</v>
      </c>
      <c r="AX316" s="236"/>
      <c r="AY316" s="619"/>
      <c r="AZ316" s="619"/>
      <c r="BA316" s="619"/>
    </row>
    <row r="317" spans="2:53" s="69" customFormat="1" ht="58.5">
      <c r="B317" s="660">
        <f>1+B316</f>
        <v>204</v>
      </c>
      <c r="C317" s="185" t="s">
        <v>1007</v>
      </c>
      <c r="D317" s="186" t="s">
        <v>1703</v>
      </c>
      <c r="E317" s="660" t="s">
        <v>1704</v>
      </c>
      <c r="F317" s="660">
        <v>12</v>
      </c>
      <c r="G317" s="187">
        <v>6773</v>
      </c>
      <c r="H317" s="674"/>
      <c r="I317" s="660"/>
      <c r="J317" s="674"/>
      <c r="K317" s="660"/>
      <c r="L317" s="660"/>
      <c r="M317" s="674"/>
      <c r="N317" s="181"/>
      <c r="O317" s="688">
        <v>0.15</v>
      </c>
      <c r="P317" s="187">
        <f t="shared" si="398"/>
        <v>1015.9499999999999</v>
      </c>
      <c r="Q317" s="189"/>
      <c r="R317" s="187">
        <f t="shared" si="399"/>
        <v>7788.95</v>
      </c>
      <c r="S317" s="187"/>
      <c r="T317" s="187">
        <v>0.5</v>
      </c>
      <c r="U317" s="660"/>
      <c r="V317" s="688"/>
      <c r="W317" s="660"/>
      <c r="X317" s="674">
        <v>11</v>
      </c>
      <c r="Y317" s="688">
        <v>0.2</v>
      </c>
      <c r="Z317" s="187">
        <f t="shared" si="400"/>
        <v>1557.79</v>
      </c>
      <c r="AA317" s="187"/>
      <c r="AB317" s="187">
        <f>(R317+Z317)*T317+AA317</f>
        <v>4673.37</v>
      </c>
      <c r="AC317" s="689">
        <f t="shared" si="402"/>
        <v>5326.63</v>
      </c>
      <c r="AD317" s="689">
        <f t="shared" si="403"/>
        <v>10000</v>
      </c>
      <c r="AE317" s="190">
        <f>20000*T317</f>
        <v>10000</v>
      </c>
      <c r="AF317" s="190">
        <f t="shared" si="408"/>
        <v>5326.63</v>
      </c>
      <c r="AG317" s="689">
        <f>8000*T317</f>
        <v>4000</v>
      </c>
      <c r="AH317" s="190">
        <f>AG317-(R317+Z317)*T317</f>
        <v>-673.36999999999989</v>
      </c>
      <c r="AI317" s="191">
        <f>G317*S317</f>
        <v>0</v>
      </c>
      <c r="AJ317" s="191">
        <f>G317*T317</f>
        <v>3386.5</v>
      </c>
      <c r="AK317" s="191">
        <f>R317*S317</f>
        <v>0</v>
      </c>
      <c r="AL317" s="191">
        <f>R317*T317</f>
        <v>3894.4749999999999</v>
      </c>
      <c r="AM317" s="191">
        <f>AK317-AI317</f>
        <v>0</v>
      </c>
      <c r="AN317" s="191">
        <f>AL317-AJ317</f>
        <v>507.97499999999991</v>
      </c>
      <c r="AO317" s="193">
        <f>Z317*S317</f>
        <v>0</v>
      </c>
      <c r="AP317" s="193">
        <f>Z317*T317</f>
        <v>778.89499999999998</v>
      </c>
      <c r="AQ317" s="193">
        <f>AA317</f>
        <v>0</v>
      </c>
      <c r="AR317" s="193">
        <f>W317*S317</f>
        <v>0</v>
      </c>
      <c r="AS317" s="193">
        <f>W317*T317</f>
        <v>0</v>
      </c>
      <c r="AT317" s="197">
        <f t="shared" si="394"/>
        <v>0</v>
      </c>
      <c r="AU317" s="197">
        <f t="shared" si="394"/>
        <v>3894.4749999999999</v>
      </c>
      <c r="AV317" s="191"/>
      <c r="AW317" s="236">
        <f>R317*T317</f>
        <v>3894.4749999999999</v>
      </c>
      <c r="AX317" s="236"/>
      <c r="AY317" s="619"/>
      <c r="AZ317" s="619"/>
      <c r="BA317" s="619"/>
    </row>
    <row r="318" spans="2:53" s="69" customFormat="1" ht="87.75">
      <c r="B318" s="660">
        <f>1+B317</f>
        <v>205</v>
      </c>
      <c r="C318" s="185" t="s">
        <v>1007</v>
      </c>
      <c r="D318" s="186" t="s">
        <v>296</v>
      </c>
      <c r="E318" s="660" t="s">
        <v>1290</v>
      </c>
      <c r="F318" s="660">
        <v>11</v>
      </c>
      <c r="G318" s="187">
        <v>6294</v>
      </c>
      <c r="H318" s="674"/>
      <c r="I318" s="660"/>
      <c r="J318" s="674"/>
      <c r="K318" s="660"/>
      <c r="L318" s="660"/>
      <c r="M318" s="674"/>
      <c r="N318" s="181"/>
      <c r="O318" s="688">
        <v>0.15</v>
      </c>
      <c r="P318" s="187">
        <f t="shared" si="398"/>
        <v>944.09999999999991</v>
      </c>
      <c r="Q318" s="189"/>
      <c r="R318" s="187">
        <f t="shared" si="399"/>
        <v>7238.1</v>
      </c>
      <c r="S318" s="187">
        <v>1</v>
      </c>
      <c r="T318" s="660"/>
      <c r="U318" s="660"/>
      <c r="V318" s="688"/>
      <c r="W318" s="660"/>
      <c r="X318" s="674">
        <v>6</v>
      </c>
      <c r="Y318" s="688">
        <v>0.1</v>
      </c>
      <c r="Z318" s="187">
        <f t="shared" si="400"/>
        <v>723.81000000000006</v>
      </c>
      <c r="AA318" s="187">
        <f>AH318</f>
        <v>38.089999999999236</v>
      </c>
      <c r="AB318" s="187">
        <f>(R318+Z318)*S318+AA318</f>
        <v>8000</v>
      </c>
      <c r="AC318" s="689">
        <f t="shared" si="402"/>
        <v>12000</v>
      </c>
      <c r="AD318" s="689">
        <f t="shared" si="403"/>
        <v>20000</v>
      </c>
      <c r="AE318" s="190">
        <f>20000*S318</f>
        <v>20000</v>
      </c>
      <c r="AF318" s="190">
        <f t="shared" si="408"/>
        <v>12000</v>
      </c>
      <c r="AG318" s="689">
        <f>8000*S318</f>
        <v>8000</v>
      </c>
      <c r="AH318" s="190">
        <f>AG318-(R318+Z318)*S318</f>
        <v>38.089999999999236</v>
      </c>
      <c r="AI318" s="191">
        <f t="shared" si="406"/>
        <v>6294</v>
      </c>
      <c r="AJ318" s="191">
        <f t="shared" si="407"/>
        <v>0</v>
      </c>
      <c r="AK318" s="191">
        <f>R318*S318</f>
        <v>7238.1</v>
      </c>
      <c r="AL318" s="191">
        <f>R318*T318</f>
        <v>0</v>
      </c>
      <c r="AM318" s="191">
        <f>AK318-AI318</f>
        <v>944.10000000000036</v>
      </c>
      <c r="AN318" s="191">
        <f>AL318-AJ318</f>
        <v>0</v>
      </c>
      <c r="AO318" s="193">
        <f>Z318*S318</f>
        <v>723.81000000000006</v>
      </c>
      <c r="AP318" s="193">
        <f>Z318*T318</f>
        <v>0</v>
      </c>
      <c r="AQ318" s="193">
        <f>AA318</f>
        <v>38.089999999999236</v>
      </c>
      <c r="AR318" s="193">
        <f>W318*S318</f>
        <v>0</v>
      </c>
      <c r="AS318" s="193">
        <f>W318*T318</f>
        <v>0</v>
      </c>
      <c r="AT318" s="197">
        <f t="shared" si="394"/>
        <v>7238.1</v>
      </c>
      <c r="AU318" s="197">
        <f t="shared" si="394"/>
        <v>0</v>
      </c>
      <c r="AV318" s="191"/>
      <c r="AW318" s="236">
        <f>R318*S318</f>
        <v>7238.1</v>
      </c>
      <c r="AX318" s="236"/>
      <c r="AY318" s="619"/>
      <c r="AZ318" s="619"/>
      <c r="BA318" s="619"/>
    </row>
    <row r="319" spans="2:53" s="69" customFormat="1" ht="31.5">
      <c r="B319" s="660"/>
      <c r="C319" s="168" t="s">
        <v>1662</v>
      </c>
      <c r="D319" s="195"/>
      <c r="E319" s="181"/>
      <c r="F319" s="181"/>
      <c r="G319" s="171">
        <f>SUM(G310:G318)</f>
        <v>61918</v>
      </c>
      <c r="H319" s="703"/>
      <c r="I319" s="171"/>
      <c r="J319" s="705"/>
      <c r="K319" s="173"/>
      <c r="L319" s="181"/>
      <c r="M319" s="682"/>
      <c r="N319" s="181"/>
      <c r="O319" s="682"/>
      <c r="P319" s="172">
        <f>SUM(P310:P318)</f>
        <v>9287.7000000000007</v>
      </c>
      <c r="Q319" s="181"/>
      <c r="R319" s="171">
        <f>SUM(R310:R318)</f>
        <v>72752.100000000006</v>
      </c>
      <c r="S319" s="171">
        <f>SUM(S310:S318)</f>
        <v>6.25</v>
      </c>
      <c r="T319" s="171">
        <f>SUM(T310:T318)</f>
        <v>1.25</v>
      </c>
      <c r="U319" s="171"/>
      <c r="V319" s="693"/>
      <c r="W319" s="171"/>
      <c r="X319" s="693"/>
      <c r="Y319" s="693"/>
      <c r="Z319" s="171">
        <f>SUM(Z310:Z318)</f>
        <v>12195.759999999997</v>
      </c>
      <c r="AA319" s="171">
        <f>SUM(AA310:AA318)</f>
        <v>1534.0749999999971</v>
      </c>
      <c r="AB319" s="171">
        <f>SUM(AB310:AB318)</f>
        <v>70692.204999999987</v>
      </c>
      <c r="AC319" s="171">
        <f>SUM(AC310:AC318)</f>
        <v>79307.795000000013</v>
      </c>
      <c r="AD319" s="171">
        <f>SUM(AD310:AD318)</f>
        <v>150000</v>
      </c>
      <c r="AE319" s="171">
        <f t="shared" ref="AE319:AV319" si="410">SUM(AE310:AE318)</f>
        <v>150000</v>
      </c>
      <c r="AF319" s="171">
        <f t="shared" si="410"/>
        <v>79307.795000000013</v>
      </c>
      <c r="AG319" s="171">
        <f>SUM(AG310:AG318)</f>
        <v>60000</v>
      </c>
      <c r="AH319" s="171">
        <f t="shared" si="410"/>
        <v>-9158.1299999999974</v>
      </c>
      <c r="AI319" s="171">
        <f t="shared" si="410"/>
        <v>24905</v>
      </c>
      <c r="AJ319" s="171">
        <f t="shared" si="410"/>
        <v>8706</v>
      </c>
      <c r="AK319" s="171">
        <f t="shared" si="410"/>
        <v>30187.15</v>
      </c>
      <c r="AL319" s="171">
        <f t="shared" si="410"/>
        <v>10011.9</v>
      </c>
      <c r="AM319" s="171">
        <f t="shared" si="410"/>
        <v>5282.1499999999987</v>
      </c>
      <c r="AN319" s="171">
        <f t="shared" si="410"/>
        <v>1305.8999999999996</v>
      </c>
      <c r="AO319" s="171">
        <f t="shared" si="410"/>
        <v>6884.7149999999992</v>
      </c>
      <c r="AP319" s="171">
        <f t="shared" si="410"/>
        <v>1445.7799999999997</v>
      </c>
      <c r="AQ319" s="171">
        <f t="shared" si="410"/>
        <v>162.65999999999894</v>
      </c>
      <c r="AR319" s="171">
        <f t="shared" si="410"/>
        <v>0</v>
      </c>
      <c r="AS319" s="171">
        <f t="shared" si="410"/>
        <v>0</v>
      </c>
      <c r="AT319" s="171">
        <f t="shared" si="410"/>
        <v>30187.15</v>
      </c>
      <c r="AU319" s="171">
        <f t="shared" si="410"/>
        <v>10011.9</v>
      </c>
      <c r="AV319" s="171">
        <f t="shared" si="410"/>
        <v>0</v>
      </c>
      <c r="AW319" s="171">
        <f>SUM(AW310:AW318)</f>
        <v>60103.82499999999</v>
      </c>
      <c r="AX319" s="171">
        <f>SUM(AX310:AX318)</f>
        <v>0</v>
      </c>
      <c r="AY319" s="619"/>
      <c r="AZ319" s="619"/>
      <c r="BA319" s="619"/>
    </row>
    <row r="320" spans="2:53" s="69" customFormat="1" ht="33">
      <c r="B320" s="660"/>
      <c r="C320" s="208" t="s">
        <v>1508</v>
      </c>
      <c r="D320" s="180"/>
      <c r="E320" s="181"/>
      <c r="F320" s="181"/>
      <c r="G320" s="181"/>
      <c r="H320" s="682"/>
      <c r="I320" s="181"/>
      <c r="J320" s="682"/>
      <c r="K320" s="181"/>
      <c r="L320" s="181"/>
      <c r="M320" s="682"/>
      <c r="N320" s="181"/>
      <c r="O320" s="682"/>
      <c r="P320" s="181"/>
      <c r="Q320" s="181"/>
      <c r="R320" s="181"/>
      <c r="S320" s="181"/>
      <c r="T320" s="181"/>
      <c r="U320" s="181"/>
      <c r="V320" s="683"/>
      <c r="W320" s="181"/>
      <c r="X320" s="683"/>
      <c r="Y320" s="683"/>
      <c r="Z320" s="181"/>
      <c r="AA320" s="181"/>
      <c r="AB320" s="181"/>
      <c r="AC320" s="183"/>
      <c r="AD320" s="183"/>
      <c r="AE320" s="183"/>
      <c r="AF320" s="183"/>
      <c r="AG320" s="183"/>
      <c r="AH320" s="183"/>
      <c r="AI320" s="191"/>
      <c r="AJ320" s="191"/>
      <c r="AK320" s="191"/>
      <c r="AL320" s="191"/>
      <c r="AM320" s="191"/>
      <c r="AN320" s="191"/>
      <c r="AO320" s="193"/>
      <c r="AP320" s="193"/>
      <c r="AQ320" s="193"/>
      <c r="AR320" s="193"/>
      <c r="AS320" s="193"/>
      <c r="AT320" s="197"/>
      <c r="AU320" s="197"/>
      <c r="AV320" s="191"/>
      <c r="AW320" s="236"/>
      <c r="AX320" s="236"/>
      <c r="AY320" s="619"/>
      <c r="AZ320" s="619"/>
      <c r="BA320" s="619"/>
    </row>
    <row r="321" spans="2:53" s="69" customFormat="1" ht="63">
      <c r="B321" s="660">
        <f>B318+1</f>
        <v>206</v>
      </c>
      <c r="C321" s="185" t="s">
        <v>1050</v>
      </c>
      <c r="D321" s="186" t="s">
        <v>1719</v>
      </c>
      <c r="E321" s="660" t="s">
        <v>1099</v>
      </c>
      <c r="F321" s="660">
        <v>10</v>
      </c>
      <c r="G321" s="187">
        <v>5815</v>
      </c>
      <c r="H321" s="688">
        <v>0.1</v>
      </c>
      <c r="I321" s="187">
        <f>G321*H321</f>
        <v>581.5</v>
      </c>
      <c r="J321" s="692"/>
      <c r="K321" s="194"/>
      <c r="L321" s="194"/>
      <c r="M321" s="692"/>
      <c r="N321" s="194"/>
      <c r="O321" s="688">
        <v>0.15</v>
      </c>
      <c r="P321" s="187">
        <f>(G321+I321)*O321</f>
        <v>959.47499999999991</v>
      </c>
      <c r="Q321" s="194"/>
      <c r="R321" s="187">
        <f>G321+I321+K321+L321+N321+P321+Q321</f>
        <v>7355.9750000000004</v>
      </c>
      <c r="S321" s="187">
        <v>1</v>
      </c>
      <c r="T321" s="194"/>
      <c r="U321" s="194"/>
      <c r="V321" s="692"/>
      <c r="W321" s="194"/>
      <c r="X321" s="674">
        <v>30</v>
      </c>
      <c r="Y321" s="688">
        <v>0.3</v>
      </c>
      <c r="Z321" s="187">
        <f>R321*Y321</f>
        <v>2206.7925</v>
      </c>
      <c r="AA321" s="187"/>
      <c r="AB321" s="187">
        <f>(R321+Z321)*S321+AA321</f>
        <v>9562.7674999999999</v>
      </c>
      <c r="AC321" s="689">
        <f t="shared" ref="AC321:AC332" si="411">AF321</f>
        <v>3937.2325000000001</v>
      </c>
      <c r="AD321" s="689">
        <f t="shared" ref="AD321:AD332" si="412">AB321+AC321</f>
        <v>13500</v>
      </c>
      <c r="AE321" s="190">
        <f>13500*S321</f>
        <v>13500</v>
      </c>
      <c r="AF321" s="190">
        <f t="shared" ref="AF321:AF332" si="413">AE321-AB321</f>
        <v>3937.2325000000001</v>
      </c>
      <c r="AG321" s="689">
        <f>8000*S321</f>
        <v>8000</v>
      </c>
      <c r="AH321" s="190">
        <f>AG321-(R321+Z321)*S321</f>
        <v>-1562.7674999999999</v>
      </c>
      <c r="AI321" s="191">
        <f t="shared" ref="AI321:AI332" si="414">G321*S321</f>
        <v>5815</v>
      </c>
      <c r="AJ321" s="191">
        <f>G321*T321</f>
        <v>0</v>
      </c>
      <c r="AK321" s="191">
        <f t="shared" ref="AK321:AK332" si="415">R321*S321</f>
        <v>7355.9750000000004</v>
      </c>
      <c r="AL321" s="191">
        <f>R321*T321</f>
        <v>0</v>
      </c>
      <c r="AM321" s="191">
        <f t="shared" ref="AM321:AN332" si="416">AK321-AI321</f>
        <v>1540.9750000000004</v>
      </c>
      <c r="AN321" s="191">
        <f t="shared" si="416"/>
        <v>0</v>
      </c>
      <c r="AO321" s="193">
        <f t="shared" ref="AO321:AO332" si="417">Z321*S321</f>
        <v>2206.7925</v>
      </c>
      <c r="AP321" s="193">
        <f t="shared" ref="AP321:AP332" si="418">Z321*T321</f>
        <v>0</v>
      </c>
      <c r="AQ321" s="193">
        <f t="shared" ref="AQ321:AQ332" si="419">AA321</f>
        <v>0</v>
      </c>
      <c r="AR321" s="193">
        <f t="shared" ref="AR321:AR331" si="420">W321*S321</f>
        <v>0</v>
      </c>
      <c r="AS321" s="193">
        <f t="shared" ref="AS321:AS331" si="421">W321*T321</f>
        <v>0</v>
      </c>
      <c r="AT321" s="197">
        <f t="shared" si="394"/>
        <v>7355.9750000000004</v>
      </c>
      <c r="AU321" s="197">
        <f t="shared" si="394"/>
        <v>0</v>
      </c>
      <c r="AV321" s="191"/>
      <c r="AW321" s="236">
        <f>R321*S321</f>
        <v>7355.9750000000004</v>
      </c>
      <c r="AX321" s="236"/>
      <c r="AY321" s="619"/>
      <c r="AZ321" s="619"/>
      <c r="BA321" s="619"/>
    </row>
    <row r="322" spans="2:53" s="69" customFormat="1" ht="87.75">
      <c r="B322" s="660">
        <f t="shared" ref="B322:B327" si="422">1+B321</f>
        <v>207</v>
      </c>
      <c r="C322" s="185" t="s">
        <v>1060</v>
      </c>
      <c r="D322" s="186" t="s">
        <v>1299</v>
      </c>
      <c r="E322" s="660" t="s">
        <v>1102</v>
      </c>
      <c r="F322" s="660">
        <v>10</v>
      </c>
      <c r="G322" s="187">
        <v>5815</v>
      </c>
      <c r="H322" s="687"/>
      <c r="I322" s="187"/>
      <c r="J322" s="687"/>
      <c r="K322" s="187"/>
      <c r="L322" s="187"/>
      <c r="M322" s="687"/>
      <c r="N322" s="187"/>
      <c r="O322" s="688">
        <v>0.15</v>
      </c>
      <c r="P322" s="187">
        <f t="shared" ref="P322:P332" si="423">(G322+I322)*O322</f>
        <v>872.25</v>
      </c>
      <c r="Q322" s="187"/>
      <c r="R322" s="187">
        <f t="shared" ref="R322:R330" si="424">G322+I322+K322+L322+N322+P322+Q322</f>
        <v>6687.25</v>
      </c>
      <c r="S322" s="187">
        <v>1</v>
      </c>
      <c r="T322" s="194"/>
      <c r="U322" s="194"/>
      <c r="V322" s="692"/>
      <c r="W322" s="194"/>
      <c r="X322" s="674">
        <v>34</v>
      </c>
      <c r="Y322" s="688">
        <v>0.3</v>
      </c>
      <c r="Z322" s="187">
        <f t="shared" ref="Z322:Z331" si="425">R322*Y322</f>
        <v>2006.175</v>
      </c>
      <c r="AA322" s="187"/>
      <c r="AB322" s="187">
        <f>(R322+Z322)*S322+AA322</f>
        <v>8693.4249999999993</v>
      </c>
      <c r="AC322" s="689">
        <f t="shared" si="411"/>
        <v>4806.5750000000007</v>
      </c>
      <c r="AD322" s="689">
        <f t="shared" si="412"/>
        <v>13500</v>
      </c>
      <c r="AE322" s="190">
        <f>13500*S322</f>
        <v>13500</v>
      </c>
      <c r="AF322" s="190">
        <f t="shared" si="413"/>
        <v>4806.5750000000007</v>
      </c>
      <c r="AG322" s="689">
        <f>8000*S322</f>
        <v>8000</v>
      </c>
      <c r="AH322" s="190">
        <f>AG322-(R322+Z322)*S322</f>
        <v>-693.42499999999927</v>
      </c>
      <c r="AI322" s="191">
        <f t="shared" si="414"/>
        <v>5815</v>
      </c>
      <c r="AJ322" s="191">
        <f>G322*T322</f>
        <v>0</v>
      </c>
      <c r="AK322" s="191">
        <f t="shared" si="415"/>
        <v>6687.25</v>
      </c>
      <c r="AL322" s="191">
        <f>R322*T322</f>
        <v>0</v>
      </c>
      <c r="AM322" s="191">
        <f t="shared" si="416"/>
        <v>872.25</v>
      </c>
      <c r="AN322" s="191">
        <f t="shared" si="416"/>
        <v>0</v>
      </c>
      <c r="AO322" s="193">
        <f t="shared" si="417"/>
        <v>2006.175</v>
      </c>
      <c r="AP322" s="193">
        <f t="shared" si="418"/>
        <v>0</v>
      </c>
      <c r="AQ322" s="193">
        <f t="shared" si="419"/>
        <v>0</v>
      </c>
      <c r="AR322" s="193">
        <f t="shared" si="420"/>
        <v>0</v>
      </c>
      <c r="AS322" s="193">
        <f t="shared" si="421"/>
        <v>0</v>
      </c>
      <c r="AT322" s="197">
        <f t="shared" si="394"/>
        <v>6687.25</v>
      </c>
      <c r="AU322" s="197">
        <f t="shared" si="394"/>
        <v>0</v>
      </c>
      <c r="AV322" s="191"/>
      <c r="AW322" s="236">
        <f>R322*S322</f>
        <v>6687.25</v>
      </c>
      <c r="AX322" s="236"/>
      <c r="AY322" s="619"/>
      <c r="AZ322" s="619"/>
      <c r="BA322" s="619"/>
    </row>
    <row r="323" spans="2:53" s="69" customFormat="1" ht="87.75">
      <c r="B323" s="660">
        <f t="shared" si="422"/>
        <v>208</v>
      </c>
      <c r="C323" s="185" t="s">
        <v>1060</v>
      </c>
      <c r="D323" s="186" t="s">
        <v>297</v>
      </c>
      <c r="E323" s="660" t="s">
        <v>1103</v>
      </c>
      <c r="F323" s="660">
        <v>10</v>
      </c>
      <c r="G323" s="187">
        <v>5815</v>
      </c>
      <c r="H323" s="687"/>
      <c r="I323" s="187"/>
      <c r="J323" s="687"/>
      <c r="K323" s="187"/>
      <c r="L323" s="187"/>
      <c r="M323" s="687"/>
      <c r="N323" s="187"/>
      <c r="O323" s="688">
        <v>0.15</v>
      </c>
      <c r="P323" s="187">
        <f t="shared" si="423"/>
        <v>872.25</v>
      </c>
      <c r="Q323" s="187"/>
      <c r="R323" s="187">
        <f t="shared" si="424"/>
        <v>6687.25</v>
      </c>
      <c r="S323" s="187">
        <v>1</v>
      </c>
      <c r="T323" s="187"/>
      <c r="U323" s="187"/>
      <c r="V323" s="687"/>
      <c r="W323" s="187"/>
      <c r="X323" s="674">
        <v>36</v>
      </c>
      <c r="Y323" s="688">
        <v>0.3</v>
      </c>
      <c r="Z323" s="187">
        <f t="shared" si="425"/>
        <v>2006.175</v>
      </c>
      <c r="AA323" s="187"/>
      <c r="AB323" s="187">
        <f>(R323+Z323)*S323+AA323</f>
        <v>8693.4249999999993</v>
      </c>
      <c r="AC323" s="689">
        <f t="shared" si="411"/>
        <v>4806.5750000000007</v>
      </c>
      <c r="AD323" s="689">
        <f t="shared" si="412"/>
        <v>13500</v>
      </c>
      <c r="AE323" s="190">
        <f t="shared" ref="AE323:AE332" si="426">13500*S323</f>
        <v>13500</v>
      </c>
      <c r="AF323" s="190">
        <f t="shared" si="413"/>
        <v>4806.5750000000007</v>
      </c>
      <c r="AG323" s="689">
        <f>8000*S323</f>
        <v>8000</v>
      </c>
      <c r="AH323" s="190">
        <f>AG323-(R323+Z323)*S323</f>
        <v>-693.42499999999927</v>
      </c>
      <c r="AI323" s="191">
        <f t="shared" si="414"/>
        <v>5815</v>
      </c>
      <c r="AJ323" s="191">
        <f>G323*T323</f>
        <v>0</v>
      </c>
      <c r="AK323" s="191">
        <f t="shared" si="415"/>
        <v>6687.25</v>
      </c>
      <c r="AL323" s="191">
        <f>R323*T323</f>
        <v>0</v>
      </c>
      <c r="AM323" s="191">
        <f t="shared" si="416"/>
        <v>872.25</v>
      </c>
      <c r="AN323" s="191">
        <f t="shared" si="416"/>
        <v>0</v>
      </c>
      <c r="AO323" s="193">
        <f t="shared" si="417"/>
        <v>2006.175</v>
      </c>
      <c r="AP323" s="193">
        <f t="shared" si="418"/>
        <v>0</v>
      </c>
      <c r="AQ323" s="193">
        <f t="shared" si="419"/>
        <v>0</v>
      </c>
      <c r="AR323" s="193">
        <f t="shared" si="420"/>
        <v>0</v>
      </c>
      <c r="AS323" s="193">
        <f t="shared" si="421"/>
        <v>0</v>
      </c>
      <c r="AT323" s="197">
        <f t="shared" si="394"/>
        <v>6687.25</v>
      </c>
      <c r="AU323" s="197">
        <f t="shared" si="394"/>
        <v>0</v>
      </c>
      <c r="AV323" s="191"/>
      <c r="AW323" s="236">
        <f>R323*S323</f>
        <v>6687.25</v>
      </c>
      <c r="AX323" s="236"/>
      <c r="AY323" s="619"/>
      <c r="AZ323" s="619"/>
      <c r="BA323" s="619"/>
    </row>
    <row r="324" spans="2:53" s="69" customFormat="1" ht="87.75">
      <c r="B324" s="660">
        <f t="shared" si="422"/>
        <v>209</v>
      </c>
      <c r="C324" s="185" t="s">
        <v>1060</v>
      </c>
      <c r="D324" s="186" t="s">
        <v>1720</v>
      </c>
      <c r="E324" s="660" t="s">
        <v>1061</v>
      </c>
      <c r="F324" s="660">
        <v>10</v>
      </c>
      <c r="G324" s="187">
        <v>5815</v>
      </c>
      <c r="H324" s="687"/>
      <c r="I324" s="187"/>
      <c r="J324" s="687"/>
      <c r="K324" s="187"/>
      <c r="L324" s="187"/>
      <c r="M324" s="687"/>
      <c r="N324" s="187"/>
      <c r="O324" s="688">
        <v>0.15</v>
      </c>
      <c r="P324" s="187">
        <f t="shared" si="423"/>
        <v>872.25</v>
      </c>
      <c r="Q324" s="187"/>
      <c r="R324" s="187">
        <f t="shared" si="424"/>
        <v>6687.25</v>
      </c>
      <c r="S324" s="187">
        <v>1</v>
      </c>
      <c r="T324" s="187"/>
      <c r="U324" s="187"/>
      <c r="V324" s="687"/>
      <c r="W324" s="187"/>
      <c r="X324" s="674">
        <v>29</v>
      </c>
      <c r="Y324" s="688">
        <v>0.3</v>
      </c>
      <c r="Z324" s="187">
        <f t="shared" si="425"/>
        <v>2006.175</v>
      </c>
      <c r="AA324" s="187"/>
      <c r="AB324" s="187">
        <f>(R324+Z324)*S324+AA324</f>
        <v>8693.4249999999993</v>
      </c>
      <c r="AC324" s="689">
        <f t="shared" si="411"/>
        <v>4806.5750000000007</v>
      </c>
      <c r="AD324" s="689">
        <f t="shared" si="412"/>
        <v>13500</v>
      </c>
      <c r="AE324" s="190">
        <f t="shared" si="426"/>
        <v>13500</v>
      </c>
      <c r="AF324" s="190">
        <f t="shared" si="413"/>
        <v>4806.5750000000007</v>
      </c>
      <c r="AG324" s="689">
        <f>8000*S324</f>
        <v>8000</v>
      </c>
      <c r="AH324" s="190">
        <f>AG324-(R324+Z324)*S324</f>
        <v>-693.42499999999927</v>
      </c>
      <c r="AI324" s="191">
        <f t="shared" si="414"/>
        <v>5815</v>
      </c>
      <c r="AJ324" s="191">
        <f>G324*T324</f>
        <v>0</v>
      </c>
      <c r="AK324" s="191">
        <f t="shared" si="415"/>
        <v>6687.25</v>
      </c>
      <c r="AL324" s="191">
        <f>R324*T324</f>
        <v>0</v>
      </c>
      <c r="AM324" s="191">
        <f t="shared" si="416"/>
        <v>872.25</v>
      </c>
      <c r="AN324" s="191">
        <f t="shared" si="416"/>
        <v>0</v>
      </c>
      <c r="AO324" s="193">
        <f t="shared" si="417"/>
        <v>2006.175</v>
      </c>
      <c r="AP324" s="193">
        <f t="shared" si="418"/>
        <v>0</v>
      </c>
      <c r="AQ324" s="193">
        <f t="shared" si="419"/>
        <v>0</v>
      </c>
      <c r="AR324" s="193">
        <f t="shared" si="420"/>
        <v>0</v>
      </c>
      <c r="AS324" s="193">
        <f t="shared" si="421"/>
        <v>0</v>
      </c>
      <c r="AT324" s="197">
        <f t="shared" si="394"/>
        <v>6687.25</v>
      </c>
      <c r="AU324" s="197">
        <f t="shared" si="394"/>
        <v>0</v>
      </c>
      <c r="AV324" s="191"/>
      <c r="AW324" s="236">
        <f>R324*S324</f>
        <v>6687.25</v>
      </c>
      <c r="AX324" s="236"/>
      <c r="AY324" s="619"/>
      <c r="AZ324" s="619"/>
      <c r="BA324" s="619"/>
    </row>
    <row r="325" spans="2:53" s="69" customFormat="1" ht="87.75">
      <c r="B325" s="660">
        <f t="shared" si="422"/>
        <v>210</v>
      </c>
      <c r="C325" s="185" t="s">
        <v>1060</v>
      </c>
      <c r="D325" s="186" t="s">
        <v>1720</v>
      </c>
      <c r="E325" s="660" t="s">
        <v>1104</v>
      </c>
      <c r="F325" s="660">
        <v>10</v>
      </c>
      <c r="G325" s="187">
        <v>5815</v>
      </c>
      <c r="H325" s="687"/>
      <c r="I325" s="187"/>
      <c r="J325" s="687"/>
      <c r="K325" s="187"/>
      <c r="L325" s="187"/>
      <c r="M325" s="687"/>
      <c r="N325" s="187"/>
      <c r="O325" s="688">
        <v>0.15</v>
      </c>
      <c r="P325" s="187">
        <f t="shared" si="423"/>
        <v>872.25</v>
      </c>
      <c r="Q325" s="194"/>
      <c r="R325" s="187">
        <f t="shared" si="424"/>
        <v>6687.25</v>
      </c>
      <c r="S325" s="187">
        <v>1</v>
      </c>
      <c r="T325" s="187"/>
      <c r="U325" s="194"/>
      <c r="V325" s="692"/>
      <c r="W325" s="194"/>
      <c r="X325" s="674">
        <v>35</v>
      </c>
      <c r="Y325" s="688">
        <v>0.3</v>
      </c>
      <c r="Z325" s="187">
        <f t="shared" si="425"/>
        <v>2006.175</v>
      </c>
      <c r="AA325" s="187"/>
      <c r="AB325" s="187">
        <f>(R325+Z325)*S325+AA325</f>
        <v>8693.4249999999993</v>
      </c>
      <c r="AC325" s="689">
        <f t="shared" si="411"/>
        <v>4806.5750000000007</v>
      </c>
      <c r="AD325" s="689">
        <f t="shared" si="412"/>
        <v>13500</v>
      </c>
      <c r="AE325" s="190">
        <f t="shared" si="426"/>
        <v>13500</v>
      </c>
      <c r="AF325" s="190">
        <f t="shared" si="413"/>
        <v>4806.5750000000007</v>
      </c>
      <c r="AG325" s="689">
        <f>8000*S325</f>
        <v>8000</v>
      </c>
      <c r="AH325" s="190">
        <f>AG325-(R325+Z325)*S325</f>
        <v>-693.42499999999927</v>
      </c>
      <c r="AI325" s="191">
        <f>G325*S325</f>
        <v>5815</v>
      </c>
      <c r="AJ325" s="191">
        <f>G325*T325</f>
        <v>0</v>
      </c>
      <c r="AK325" s="191">
        <f t="shared" si="415"/>
        <v>6687.25</v>
      </c>
      <c r="AL325" s="191">
        <f>R325*T325</f>
        <v>0</v>
      </c>
      <c r="AM325" s="191">
        <f t="shared" si="416"/>
        <v>872.25</v>
      </c>
      <c r="AN325" s="191">
        <f t="shared" si="416"/>
        <v>0</v>
      </c>
      <c r="AO325" s="193">
        <f t="shared" si="417"/>
        <v>2006.175</v>
      </c>
      <c r="AP325" s="193">
        <f t="shared" si="418"/>
        <v>0</v>
      </c>
      <c r="AQ325" s="193">
        <f t="shared" si="419"/>
        <v>0</v>
      </c>
      <c r="AR325" s="193">
        <f t="shared" si="420"/>
        <v>0</v>
      </c>
      <c r="AS325" s="193">
        <f t="shared" si="421"/>
        <v>0</v>
      </c>
      <c r="AT325" s="197">
        <f t="shared" si="394"/>
        <v>6687.25</v>
      </c>
      <c r="AU325" s="197">
        <f t="shared" si="394"/>
        <v>0</v>
      </c>
      <c r="AV325" s="191"/>
      <c r="AW325" s="236">
        <f>R325*S325</f>
        <v>6687.25</v>
      </c>
      <c r="AX325" s="236"/>
      <c r="AY325" s="619"/>
      <c r="AZ325" s="619"/>
      <c r="BA325" s="619"/>
    </row>
    <row r="326" spans="2:53" s="69" customFormat="1" ht="34.5" customHeight="1">
      <c r="B326" s="660">
        <f t="shared" si="422"/>
        <v>211</v>
      </c>
      <c r="C326" s="185" t="s">
        <v>1035</v>
      </c>
      <c r="D326" s="186" t="s">
        <v>1721</v>
      </c>
      <c r="E326" s="660" t="s">
        <v>1082</v>
      </c>
      <c r="F326" s="660">
        <v>9</v>
      </c>
      <c r="G326" s="187">
        <v>5527</v>
      </c>
      <c r="H326" s="687"/>
      <c r="I326" s="187"/>
      <c r="J326" s="687"/>
      <c r="K326" s="187"/>
      <c r="L326" s="187"/>
      <c r="M326" s="687"/>
      <c r="N326" s="187"/>
      <c r="O326" s="688">
        <v>0.15</v>
      </c>
      <c r="P326" s="187">
        <f t="shared" si="423"/>
        <v>829.05</v>
      </c>
      <c r="Q326" s="187"/>
      <c r="R326" s="187">
        <f>G326+I326+K326+L326+N326+P326+Q326</f>
        <v>6356.05</v>
      </c>
      <c r="S326" s="187"/>
      <c r="T326" s="187">
        <v>0.25</v>
      </c>
      <c r="U326" s="187"/>
      <c r="V326" s="687"/>
      <c r="W326" s="187"/>
      <c r="X326" s="674">
        <v>14</v>
      </c>
      <c r="Y326" s="688">
        <v>0.2</v>
      </c>
      <c r="Z326" s="187">
        <f t="shared" si="425"/>
        <v>1271.21</v>
      </c>
      <c r="AA326" s="187">
        <f>AH326</f>
        <v>93.184999999999945</v>
      </c>
      <c r="AB326" s="187">
        <f>(R326+Z326)*T326+AA326</f>
        <v>2000</v>
      </c>
      <c r="AC326" s="689">
        <f>AF326</f>
        <v>1375</v>
      </c>
      <c r="AD326" s="689">
        <f t="shared" si="412"/>
        <v>3375</v>
      </c>
      <c r="AE326" s="190">
        <f>13500*T326</f>
        <v>3375</v>
      </c>
      <c r="AF326" s="190">
        <f>AE326-AB326</f>
        <v>1375</v>
      </c>
      <c r="AG326" s="689">
        <f>8000*T326</f>
        <v>2000</v>
      </c>
      <c r="AH326" s="190">
        <f>AG326-(R326+Z326)*T326</f>
        <v>93.184999999999945</v>
      </c>
      <c r="AI326" s="191">
        <f>G326*T326</f>
        <v>1381.75</v>
      </c>
      <c r="AJ326" s="191">
        <f t="shared" ref="AJ326:AJ332" si="427">G326*T326</f>
        <v>1381.75</v>
      </c>
      <c r="AK326" s="191">
        <f>R326*T326</f>
        <v>1589.0125</v>
      </c>
      <c r="AL326" s="191">
        <f t="shared" ref="AL326:AL332" si="428">R326*T326</f>
        <v>1589.0125</v>
      </c>
      <c r="AM326" s="191">
        <f>AK326-AI326</f>
        <v>207.26250000000005</v>
      </c>
      <c r="AN326" s="191">
        <f t="shared" si="416"/>
        <v>207.26250000000005</v>
      </c>
      <c r="AO326" s="193">
        <f>Z326*T326</f>
        <v>317.80250000000001</v>
      </c>
      <c r="AP326" s="193">
        <f>Z326*T326</f>
        <v>317.80250000000001</v>
      </c>
      <c r="AQ326" s="193">
        <f t="shared" si="419"/>
        <v>93.184999999999945</v>
      </c>
      <c r="AR326" s="193">
        <f>W326*T326</f>
        <v>0</v>
      </c>
      <c r="AS326" s="193">
        <f t="shared" si="421"/>
        <v>0</v>
      </c>
      <c r="AT326" s="197">
        <f t="shared" si="394"/>
        <v>1589.0125</v>
      </c>
      <c r="AU326" s="197">
        <f t="shared" si="394"/>
        <v>1589.0125</v>
      </c>
      <c r="AV326" s="191"/>
      <c r="AW326" s="236">
        <f>R326*T326</f>
        <v>1589.0125</v>
      </c>
      <c r="AX326" s="236"/>
      <c r="AY326" s="619"/>
      <c r="AZ326" s="619"/>
      <c r="BA326" s="619"/>
    </row>
    <row r="327" spans="2:53" s="69" customFormat="1" ht="63">
      <c r="B327" s="660">
        <f t="shared" si="422"/>
        <v>212</v>
      </c>
      <c r="C327" s="185" t="s">
        <v>1035</v>
      </c>
      <c r="D327" s="186" t="s">
        <v>298</v>
      </c>
      <c r="E327" s="660" t="s">
        <v>115</v>
      </c>
      <c r="F327" s="660">
        <v>9</v>
      </c>
      <c r="G327" s="187">
        <v>5527</v>
      </c>
      <c r="H327" s="687"/>
      <c r="I327" s="187"/>
      <c r="J327" s="687"/>
      <c r="K327" s="187"/>
      <c r="L327" s="187"/>
      <c r="M327" s="687"/>
      <c r="N327" s="187"/>
      <c r="O327" s="688">
        <v>0.15</v>
      </c>
      <c r="P327" s="187">
        <f t="shared" si="423"/>
        <v>829.05</v>
      </c>
      <c r="Q327" s="187"/>
      <c r="R327" s="187">
        <f>G327+I327+K327+L327+N327+P327+Q327</f>
        <v>6356.05</v>
      </c>
      <c r="S327" s="187">
        <v>1</v>
      </c>
      <c r="T327" s="187"/>
      <c r="U327" s="187"/>
      <c r="V327" s="687"/>
      <c r="W327" s="187"/>
      <c r="X327" s="674">
        <v>14</v>
      </c>
      <c r="Y327" s="688">
        <v>0.2</v>
      </c>
      <c r="Z327" s="187">
        <f>R327*Y327</f>
        <v>1271.21</v>
      </c>
      <c r="AA327" s="187">
        <f>AH327</f>
        <v>372.73999999999978</v>
      </c>
      <c r="AB327" s="187">
        <f>(R327+Z327)*S327+AA327</f>
        <v>8000</v>
      </c>
      <c r="AC327" s="689">
        <f>AF327</f>
        <v>5500</v>
      </c>
      <c r="AD327" s="689">
        <f>AB327+AC327</f>
        <v>13500</v>
      </c>
      <c r="AE327" s="190">
        <f>13500*S327</f>
        <v>13500</v>
      </c>
      <c r="AF327" s="190">
        <f>AE327-AB327</f>
        <v>5500</v>
      </c>
      <c r="AG327" s="689">
        <f>8000*S327</f>
        <v>8000</v>
      </c>
      <c r="AH327" s="190">
        <f>AG327-(R327+Z327)*S327</f>
        <v>372.73999999999978</v>
      </c>
      <c r="AI327" s="191">
        <f>G327*S327</f>
        <v>5527</v>
      </c>
      <c r="AJ327" s="191">
        <f t="shared" si="427"/>
        <v>0</v>
      </c>
      <c r="AK327" s="191">
        <f>R327*S327</f>
        <v>6356.05</v>
      </c>
      <c r="AL327" s="191">
        <f t="shared" si="428"/>
        <v>0</v>
      </c>
      <c r="AM327" s="191">
        <f>AK327-AI327</f>
        <v>829.05000000000018</v>
      </c>
      <c r="AN327" s="191">
        <f t="shared" si="416"/>
        <v>0</v>
      </c>
      <c r="AO327" s="193">
        <f>Z327*S327</f>
        <v>1271.21</v>
      </c>
      <c r="AP327" s="193">
        <f>Z327*S327</f>
        <v>1271.21</v>
      </c>
      <c r="AQ327" s="193">
        <f>AA327</f>
        <v>372.73999999999978</v>
      </c>
      <c r="AR327" s="193">
        <f>W327*S327</f>
        <v>0</v>
      </c>
      <c r="AS327" s="193">
        <f>W327*T327</f>
        <v>0</v>
      </c>
      <c r="AT327" s="197">
        <f>AK327</f>
        <v>6356.05</v>
      </c>
      <c r="AU327" s="197">
        <f>AL327</f>
        <v>0</v>
      </c>
      <c r="AV327" s="191"/>
      <c r="AW327" s="236">
        <f>R327*S327</f>
        <v>6356.05</v>
      </c>
      <c r="AX327" s="236"/>
      <c r="AY327" s="619"/>
      <c r="AZ327" s="619"/>
      <c r="BA327" s="619"/>
    </row>
    <row r="328" spans="2:53" s="69" customFormat="1" ht="63">
      <c r="B328" s="660">
        <f>B327+1</f>
        <v>213</v>
      </c>
      <c r="C328" s="185" t="s">
        <v>1035</v>
      </c>
      <c r="D328" s="186" t="s">
        <v>299</v>
      </c>
      <c r="E328" s="660" t="s">
        <v>1074</v>
      </c>
      <c r="F328" s="660">
        <v>10</v>
      </c>
      <c r="G328" s="187">
        <v>5815</v>
      </c>
      <c r="H328" s="687"/>
      <c r="I328" s="187"/>
      <c r="J328" s="687"/>
      <c r="K328" s="187"/>
      <c r="L328" s="187"/>
      <c r="M328" s="687"/>
      <c r="N328" s="187"/>
      <c r="O328" s="688">
        <v>0.15</v>
      </c>
      <c r="P328" s="187">
        <f t="shared" si="423"/>
        <v>872.25</v>
      </c>
      <c r="Q328" s="187"/>
      <c r="R328" s="187">
        <f>G328+I328+K328+L328+N328+P328+Q328</f>
        <v>6687.25</v>
      </c>
      <c r="S328" s="187"/>
      <c r="T328" s="187">
        <v>0.25</v>
      </c>
      <c r="U328" s="187"/>
      <c r="V328" s="687"/>
      <c r="W328" s="187"/>
      <c r="X328" s="674">
        <v>29</v>
      </c>
      <c r="Y328" s="688">
        <v>0.3</v>
      </c>
      <c r="Z328" s="187">
        <f>R328*Y328</f>
        <v>2006.175</v>
      </c>
      <c r="AA328" s="187"/>
      <c r="AB328" s="187">
        <f>(R328+Z328)*T328+AA328</f>
        <v>2173.3562499999998</v>
      </c>
      <c r="AC328" s="689">
        <f>AF328</f>
        <v>1201.6437500000002</v>
      </c>
      <c r="AD328" s="689">
        <f t="shared" si="412"/>
        <v>3375</v>
      </c>
      <c r="AE328" s="190">
        <f>13500*T328</f>
        <v>3375</v>
      </c>
      <c r="AF328" s="190">
        <f>AE328-AB328</f>
        <v>1201.6437500000002</v>
      </c>
      <c r="AG328" s="689">
        <f>8000*T328</f>
        <v>2000</v>
      </c>
      <c r="AH328" s="190">
        <f>AG328-(R328+Z328)*T328</f>
        <v>-173.35624999999982</v>
      </c>
      <c r="AI328" s="191">
        <f>G328*T328</f>
        <v>1453.75</v>
      </c>
      <c r="AJ328" s="191">
        <f t="shared" si="427"/>
        <v>1453.75</v>
      </c>
      <c r="AK328" s="191">
        <f>R328*T328</f>
        <v>1671.8125</v>
      </c>
      <c r="AL328" s="191">
        <f t="shared" si="428"/>
        <v>1671.8125</v>
      </c>
      <c r="AM328" s="191">
        <f>AK328-AI328</f>
        <v>218.0625</v>
      </c>
      <c r="AN328" s="191">
        <f t="shared" si="416"/>
        <v>218.0625</v>
      </c>
      <c r="AO328" s="193">
        <f>Z328*T328</f>
        <v>501.54374999999999</v>
      </c>
      <c r="AP328" s="193">
        <f>Z328*T328</f>
        <v>501.54374999999999</v>
      </c>
      <c r="AQ328" s="193">
        <f>AA328</f>
        <v>0</v>
      </c>
      <c r="AR328" s="193">
        <f>W328*T328</f>
        <v>0</v>
      </c>
      <c r="AS328" s="193">
        <f>W328*T328</f>
        <v>0</v>
      </c>
      <c r="AT328" s="197">
        <f>AK328</f>
        <v>1671.8125</v>
      </c>
      <c r="AU328" s="197">
        <f>AL328</f>
        <v>1671.8125</v>
      </c>
      <c r="AV328" s="191"/>
      <c r="AW328" s="236">
        <f>R328*T328</f>
        <v>1671.8125</v>
      </c>
      <c r="AX328" s="236"/>
      <c r="AY328" s="619"/>
      <c r="AZ328" s="619"/>
      <c r="BA328" s="619"/>
    </row>
    <row r="329" spans="2:53" s="69" customFormat="1" ht="63">
      <c r="B329" s="660">
        <f>B328+1</f>
        <v>214</v>
      </c>
      <c r="C329" s="185" t="s">
        <v>1035</v>
      </c>
      <c r="D329" s="186" t="s">
        <v>283</v>
      </c>
      <c r="E329" s="660" t="s">
        <v>1101</v>
      </c>
      <c r="F329" s="660">
        <v>10</v>
      </c>
      <c r="G329" s="187">
        <v>5815</v>
      </c>
      <c r="H329" s="687"/>
      <c r="I329" s="187"/>
      <c r="J329" s="687"/>
      <c r="K329" s="187"/>
      <c r="L329" s="187"/>
      <c r="M329" s="687"/>
      <c r="N329" s="187"/>
      <c r="O329" s="688">
        <v>0.15</v>
      </c>
      <c r="P329" s="187">
        <f t="shared" si="423"/>
        <v>872.25</v>
      </c>
      <c r="Q329" s="194"/>
      <c r="R329" s="187">
        <f>G329+I329+K329+L329+N329+P329+Q329</f>
        <v>6687.25</v>
      </c>
      <c r="S329" s="187"/>
      <c r="T329" s="187">
        <v>0.5</v>
      </c>
      <c r="U329" s="194"/>
      <c r="V329" s="692"/>
      <c r="W329" s="194"/>
      <c r="X329" s="674">
        <v>27</v>
      </c>
      <c r="Y329" s="688">
        <v>0.3</v>
      </c>
      <c r="Z329" s="187">
        <f>R329*Y329</f>
        <v>2006.175</v>
      </c>
      <c r="AA329" s="187"/>
      <c r="AB329" s="187">
        <f>(R329+Z329)*T329+AA329</f>
        <v>4346.7124999999996</v>
      </c>
      <c r="AC329" s="689">
        <f>AF329</f>
        <v>2403.2875000000004</v>
      </c>
      <c r="AD329" s="689">
        <f>AB329+AC329</f>
        <v>6750</v>
      </c>
      <c r="AE329" s="190">
        <f>13500*T329</f>
        <v>6750</v>
      </c>
      <c r="AF329" s="190">
        <f t="shared" si="413"/>
        <v>2403.2875000000004</v>
      </c>
      <c r="AG329" s="689">
        <f>8000*T329</f>
        <v>4000</v>
      </c>
      <c r="AH329" s="190">
        <f>AG329-(R329+Z329)*T329</f>
        <v>-346.71249999999964</v>
      </c>
      <c r="AI329" s="191">
        <f>G329*T329</f>
        <v>2907.5</v>
      </c>
      <c r="AJ329" s="191">
        <f t="shared" si="427"/>
        <v>2907.5</v>
      </c>
      <c r="AK329" s="191">
        <f>R329*T329</f>
        <v>3343.625</v>
      </c>
      <c r="AL329" s="191">
        <f t="shared" si="428"/>
        <v>3343.625</v>
      </c>
      <c r="AM329" s="191">
        <f t="shared" si="416"/>
        <v>436.125</v>
      </c>
      <c r="AN329" s="191">
        <f t="shared" si="416"/>
        <v>436.125</v>
      </c>
      <c r="AO329" s="193">
        <f t="shared" si="417"/>
        <v>0</v>
      </c>
      <c r="AP329" s="193">
        <f t="shared" si="418"/>
        <v>1003.0875</v>
      </c>
      <c r="AQ329" s="193">
        <f t="shared" si="419"/>
        <v>0</v>
      </c>
      <c r="AR329" s="193">
        <f t="shared" si="420"/>
        <v>0</v>
      </c>
      <c r="AS329" s="193">
        <f t="shared" si="421"/>
        <v>0</v>
      </c>
      <c r="AT329" s="197">
        <f t="shared" si="394"/>
        <v>3343.625</v>
      </c>
      <c r="AU329" s="197">
        <f t="shared" si="394"/>
        <v>3343.625</v>
      </c>
      <c r="AV329" s="191"/>
      <c r="AW329" s="236">
        <f>R329*T329</f>
        <v>3343.625</v>
      </c>
      <c r="AX329" s="236"/>
      <c r="AY329" s="71"/>
    </row>
    <row r="330" spans="2:53" s="69" customFormat="1" ht="63">
      <c r="B330" s="660">
        <f>1+B329</f>
        <v>215</v>
      </c>
      <c r="C330" s="185" t="s">
        <v>1035</v>
      </c>
      <c r="D330" s="186" t="s">
        <v>1041</v>
      </c>
      <c r="E330" s="660" t="s">
        <v>1100</v>
      </c>
      <c r="F330" s="660">
        <v>10</v>
      </c>
      <c r="G330" s="187">
        <v>5815</v>
      </c>
      <c r="H330" s="687"/>
      <c r="I330" s="187"/>
      <c r="J330" s="687"/>
      <c r="K330" s="187"/>
      <c r="L330" s="187"/>
      <c r="M330" s="687"/>
      <c r="N330" s="187"/>
      <c r="O330" s="688">
        <v>0.15</v>
      </c>
      <c r="P330" s="187">
        <f t="shared" si="423"/>
        <v>872.25</v>
      </c>
      <c r="Q330" s="187"/>
      <c r="R330" s="187">
        <f t="shared" si="424"/>
        <v>6687.25</v>
      </c>
      <c r="S330" s="187">
        <v>1</v>
      </c>
      <c r="T330" s="187"/>
      <c r="U330" s="187"/>
      <c r="V330" s="687"/>
      <c r="W330" s="187"/>
      <c r="X330" s="674">
        <v>29</v>
      </c>
      <c r="Y330" s="688">
        <v>0.3</v>
      </c>
      <c r="Z330" s="187">
        <f>R330*Y330</f>
        <v>2006.175</v>
      </c>
      <c r="AA330" s="187"/>
      <c r="AB330" s="187">
        <f>(R330+Z330)*S330+AA330</f>
        <v>8693.4249999999993</v>
      </c>
      <c r="AC330" s="689">
        <f t="shared" si="411"/>
        <v>4806.5750000000007</v>
      </c>
      <c r="AD330" s="689">
        <f t="shared" si="412"/>
        <v>13500</v>
      </c>
      <c r="AE330" s="190">
        <f t="shared" si="426"/>
        <v>13500</v>
      </c>
      <c r="AF330" s="190">
        <f t="shared" si="413"/>
        <v>4806.5750000000007</v>
      </c>
      <c r="AG330" s="689">
        <f>8000*S330</f>
        <v>8000</v>
      </c>
      <c r="AH330" s="190">
        <f>AG330-(R330+Z330)*S330</f>
        <v>-693.42499999999927</v>
      </c>
      <c r="AI330" s="191">
        <f t="shared" si="414"/>
        <v>5815</v>
      </c>
      <c r="AJ330" s="191">
        <f t="shared" si="427"/>
        <v>0</v>
      </c>
      <c r="AK330" s="191">
        <f t="shared" si="415"/>
        <v>6687.25</v>
      </c>
      <c r="AL330" s="191">
        <f t="shared" si="428"/>
        <v>0</v>
      </c>
      <c r="AM330" s="191">
        <f t="shared" si="416"/>
        <v>872.25</v>
      </c>
      <c r="AN330" s="191">
        <f t="shared" si="416"/>
        <v>0</v>
      </c>
      <c r="AO330" s="193">
        <f t="shared" si="417"/>
        <v>2006.175</v>
      </c>
      <c r="AP330" s="193">
        <f t="shared" si="418"/>
        <v>0</v>
      </c>
      <c r="AQ330" s="193">
        <f t="shared" si="419"/>
        <v>0</v>
      </c>
      <c r="AR330" s="193">
        <f t="shared" si="420"/>
        <v>0</v>
      </c>
      <c r="AS330" s="193">
        <f t="shared" si="421"/>
        <v>0</v>
      </c>
      <c r="AT330" s="197">
        <f>AK330</f>
        <v>6687.25</v>
      </c>
      <c r="AU330" s="197">
        <f>AL330</f>
        <v>0</v>
      </c>
      <c r="AV330" s="191"/>
      <c r="AW330" s="236">
        <f>R330*S330</f>
        <v>6687.25</v>
      </c>
      <c r="AX330" s="236"/>
      <c r="AY330" s="71"/>
    </row>
    <row r="331" spans="2:53" s="69" customFormat="1" ht="63">
      <c r="B331" s="660">
        <f>1+B330</f>
        <v>216</v>
      </c>
      <c r="C331" s="185" t="s">
        <v>1035</v>
      </c>
      <c r="D331" s="186" t="s">
        <v>1721</v>
      </c>
      <c r="E331" s="660" t="s">
        <v>1082</v>
      </c>
      <c r="F331" s="660">
        <v>9</v>
      </c>
      <c r="G331" s="187">
        <v>5527</v>
      </c>
      <c r="H331" s="687"/>
      <c r="I331" s="187"/>
      <c r="J331" s="687"/>
      <c r="K331" s="187"/>
      <c r="L331" s="187"/>
      <c r="M331" s="687"/>
      <c r="N331" s="187"/>
      <c r="O331" s="688">
        <v>0.15</v>
      </c>
      <c r="P331" s="187">
        <f t="shared" si="423"/>
        <v>829.05</v>
      </c>
      <c r="Q331" s="187"/>
      <c r="R331" s="187">
        <f>G331+I331+K331+L331+N331+P331+Q331</f>
        <v>6356.05</v>
      </c>
      <c r="S331" s="187">
        <v>1</v>
      </c>
      <c r="T331" s="187"/>
      <c r="U331" s="187"/>
      <c r="V331" s="687"/>
      <c r="W331" s="187"/>
      <c r="X331" s="674">
        <v>14</v>
      </c>
      <c r="Y331" s="688">
        <v>0.2</v>
      </c>
      <c r="Z331" s="187">
        <f t="shared" si="425"/>
        <v>1271.21</v>
      </c>
      <c r="AA331" s="187">
        <f>AH331</f>
        <v>372.73999999999978</v>
      </c>
      <c r="AB331" s="187">
        <f>(R331+Z331)*S331+AA331</f>
        <v>8000</v>
      </c>
      <c r="AC331" s="689">
        <f t="shared" si="411"/>
        <v>5500</v>
      </c>
      <c r="AD331" s="689">
        <f t="shared" si="412"/>
        <v>13500</v>
      </c>
      <c r="AE331" s="190">
        <f t="shared" si="426"/>
        <v>13500</v>
      </c>
      <c r="AF331" s="190">
        <f t="shared" si="413"/>
        <v>5500</v>
      </c>
      <c r="AG331" s="689">
        <f>8000*S331</f>
        <v>8000</v>
      </c>
      <c r="AH331" s="190">
        <f>AG331-(R331+Z331)*S331</f>
        <v>372.73999999999978</v>
      </c>
      <c r="AI331" s="191">
        <f t="shared" si="414"/>
        <v>5527</v>
      </c>
      <c r="AJ331" s="191">
        <f t="shared" si="427"/>
        <v>0</v>
      </c>
      <c r="AK331" s="191">
        <f t="shared" si="415"/>
        <v>6356.05</v>
      </c>
      <c r="AL331" s="191">
        <f t="shared" si="428"/>
        <v>0</v>
      </c>
      <c r="AM331" s="191">
        <f t="shared" si="416"/>
        <v>829.05000000000018</v>
      </c>
      <c r="AN331" s="191">
        <f t="shared" si="416"/>
        <v>0</v>
      </c>
      <c r="AO331" s="193">
        <f t="shared" si="417"/>
        <v>1271.21</v>
      </c>
      <c r="AP331" s="193">
        <f t="shared" si="418"/>
        <v>0</v>
      </c>
      <c r="AQ331" s="193">
        <f t="shared" si="419"/>
        <v>372.73999999999978</v>
      </c>
      <c r="AR331" s="193">
        <f t="shared" si="420"/>
        <v>0</v>
      </c>
      <c r="AS331" s="193">
        <f t="shared" si="421"/>
        <v>0</v>
      </c>
      <c r="AT331" s="197">
        <f t="shared" si="394"/>
        <v>6356.05</v>
      </c>
      <c r="AU331" s="197">
        <f t="shared" si="394"/>
        <v>0</v>
      </c>
      <c r="AV331" s="191"/>
      <c r="AW331" s="236">
        <f>R331*S331</f>
        <v>6356.05</v>
      </c>
      <c r="AX331" s="236"/>
      <c r="AY331" s="72"/>
    </row>
    <row r="332" spans="2:53" s="69" customFormat="1" ht="63">
      <c r="B332" s="660">
        <f>1+B331</f>
        <v>217</v>
      </c>
      <c r="C332" s="185" t="s">
        <v>1035</v>
      </c>
      <c r="D332" s="186" t="s">
        <v>300</v>
      </c>
      <c r="E332" s="660" t="s">
        <v>1074</v>
      </c>
      <c r="F332" s="660">
        <v>10</v>
      </c>
      <c r="G332" s="187">
        <v>5815</v>
      </c>
      <c r="H332" s="687"/>
      <c r="I332" s="187"/>
      <c r="J332" s="687"/>
      <c r="K332" s="187"/>
      <c r="L332" s="187"/>
      <c r="M332" s="687"/>
      <c r="N332" s="187"/>
      <c r="O332" s="688">
        <v>0.15</v>
      </c>
      <c r="P332" s="187">
        <f t="shared" si="423"/>
        <v>872.25</v>
      </c>
      <c r="Q332" s="187"/>
      <c r="R332" s="187">
        <f>G332+I332+K332+L332+N332+P332+Q332</f>
        <v>6687.25</v>
      </c>
      <c r="S332" s="187">
        <v>1</v>
      </c>
      <c r="T332" s="187"/>
      <c r="U332" s="187"/>
      <c r="V332" s="687"/>
      <c r="W332" s="187"/>
      <c r="X332" s="674">
        <v>29</v>
      </c>
      <c r="Y332" s="688">
        <v>0.3</v>
      </c>
      <c r="Z332" s="187">
        <f>R332*Y332</f>
        <v>2006.175</v>
      </c>
      <c r="AA332" s="187"/>
      <c r="AB332" s="187">
        <f>(R332+Z332)*S332+AA332</f>
        <v>8693.4249999999993</v>
      </c>
      <c r="AC332" s="689">
        <f t="shared" si="411"/>
        <v>4806.5750000000007</v>
      </c>
      <c r="AD332" s="689">
        <f t="shared" si="412"/>
        <v>13500</v>
      </c>
      <c r="AE332" s="190">
        <f t="shared" si="426"/>
        <v>13500</v>
      </c>
      <c r="AF332" s="190">
        <f t="shared" si="413"/>
        <v>4806.5750000000007</v>
      </c>
      <c r="AG332" s="689">
        <f>8000*S332</f>
        <v>8000</v>
      </c>
      <c r="AH332" s="190">
        <f>AG332-(R332+Z332)*S332</f>
        <v>-693.42499999999927</v>
      </c>
      <c r="AI332" s="191">
        <f t="shared" si="414"/>
        <v>5815</v>
      </c>
      <c r="AJ332" s="191">
        <f t="shared" si="427"/>
        <v>0</v>
      </c>
      <c r="AK332" s="191">
        <f t="shared" si="415"/>
        <v>6687.25</v>
      </c>
      <c r="AL332" s="191">
        <f t="shared" si="428"/>
        <v>0</v>
      </c>
      <c r="AM332" s="191">
        <f t="shared" si="416"/>
        <v>872.25</v>
      </c>
      <c r="AN332" s="191">
        <f t="shared" si="416"/>
        <v>0</v>
      </c>
      <c r="AO332" s="193">
        <f t="shared" si="417"/>
        <v>2006.175</v>
      </c>
      <c r="AP332" s="193">
        <f t="shared" si="418"/>
        <v>0</v>
      </c>
      <c r="AQ332" s="193">
        <f t="shared" si="419"/>
        <v>0</v>
      </c>
      <c r="AR332" s="193">
        <f>W332*S332</f>
        <v>0</v>
      </c>
      <c r="AS332" s="193">
        <f>W332*T332</f>
        <v>0</v>
      </c>
      <c r="AT332" s="197">
        <f t="shared" si="394"/>
        <v>6687.25</v>
      </c>
      <c r="AU332" s="197">
        <f t="shared" si="394"/>
        <v>0</v>
      </c>
      <c r="AV332" s="191"/>
      <c r="AW332" s="236">
        <f>R332*S332</f>
        <v>6687.25</v>
      </c>
      <c r="AX332" s="236"/>
    </row>
    <row r="333" spans="2:53" s="69" customFormat="1" ht="31.5">
      <c r="B333" s="660"/>
      <c r="C333" s="168" t="s">
        <v>1662</v>
      </c>
      <c r="D333" s="195"/>
      <c r="E333" s="181"/>
      <c r="F333" s="181"/>
      <c r="G333" s="171">
        <f>SUM(G321:G332)</f>
        <v>68916</v>
      </c>
      <c r="H333" s="682"/>
      <c r="I333" s="181"/>
      <c r="J333" s="682"/>
      <c r="K333" s="181"/>
      <c r="L333" s="181"/>
      <c r="M333" s="682"/>
      <c r="N333" s="181"/>
      <c r="O333" s="682"/>
      <c r="P333" s="171">
        <f>SUM(P321:P332)</f>
        <v>10424.625</v>
      </c>
      <c r="Q333" s="181"/>
      <c r="R333" s="171">
        <f>SUM(R321:R332)</f>
        <v>79922.125000000015</v>
      </c>
      <c r="S333" s="171">
        <f>SUM(S321:S332)</f>
        <v>9</v>
      </c>
      <c r="T333" s="171">
        <f>SUM(T321:T332)</f>
        <v>1</v>
      </c>
      <c r="U333" s="171"/>
      <c r="V333" s="693"/>
      <c r="W333" s="171"/>
      <c r="X333" s="693"/>
      <c r="Y333" s="693"/>
      <c r="Z333" s="171">
        <f>SUM(Z321:Z332)</f>
        <v>22069.822499999995</v>
      </c>
      <c r="AA333" s="171">
        <f>SUM(AA322:AA332)</f>
        <v>838.66499999999951</v>
      </c>
      <c r="AB333" s="171">
        <f>SUM(AB321:AB332)</f>
        <v>86243.386249999996</v>
      </c>
      <c r="AC333" s="171">
        <f>SUM(AC321:AC332)</f>
        <v>48756.613750000004</v>
      </c>
      <c r="AD333" s="171">
        <f>SUM(AD321:AD332)</f>
        <v>135000</v>
      </c>
      <c r="AE333" s="171">
        <f t="shared" ref="AE333:AV333" si="429">SUM(AE321:AE332)</f>
        <v>135000</v>
      </c>
      <c r="AF333" s="171">
        <f t="shared" si="429"/>
        <v>48756.613750000004</v>
      </c>
      <c r="AG333" s="171">
        <f t="shared" si="429"/>
        <v>80000</v>
      </c>
      <c r="AH333" s="171">
        <f t="shared" si="429"/>
        <v>-5404.721249999996</v>
      </c>
      <c r="AI333" s="171">
        <f t="shared" si="429"/>
        <v>57502</v>
      </c>
      <c r="AJ333" s="171">
        <f t="shared" si="429"/>
        <v>5743</v>
      </c>
      <c r="AK333" s="171">
        <f t="shared" si="429"/>
        <v>66796.024999999994</v>
      </c>
      <c r="AL333" s="171">
        <f t="shared" si="429"/>
        <v>6604.45</v>
      </c>
      <c r="AM333" s="171">
        <f t="shared" si="429"/>
        <v>9294.0250000000015</v>
      </c>
      <c r="AN333" s="171">
        <f t="shared" si="429"/>
        <v>861.45</v>
      </c>
      <c r="AO333" s="171">
        <f t="shared" si="429"/>
        <v>17605.608749999996</v>
      </c>
      <c r="AP333" s="171">
        <f t="shared" si="429"/>
        <v>3093.6437500000002</v>
      </c>
      <c r="AQ333" s="171">
        <f t="shared" si="429"/>
        <v>838.66499999999951</v>
      </c>
      <c r="AR333" s="171">
        <f t="shared" si="429"/>
        <v>0</v>
      </c>
      <c r="AS333" s="171">
        <f t="shared" si="429"/>
        <v>0</v>
      </c>
      <c r="AT333" s="171">
        <f t="shared" si="429"/>
        <v>66796.024999999994</v>
      </c>
      <c r="AU333" s="171">
        <f t="shared" si="429"/>
        <v>6604.45</v>
      </c>
      <c r="AV333" s="171">
        <f t="shared" si="429"/>
        <v>0</v>
      </c>
      <c r="AW333" s="171">
        <f>SUM(AW321:AW332)</f>
        <v>66796.024999999994</v>
      </c>
      <c r="AX333" s="171">
        <f>SUM(AX321:AX332)</f>
        <v>0</v>
      </c>
    </row>
    <row r="334" spans="2:53" s="69" customFormat="1" ht="33">
      <c r="B334" s="660"/>
      <c r="C334" s="208" t="s">
        <v>1774</v>
      </c>
      <c r="D334" s="195"/>
      <c r="E334" s="181"/>
      <c r="F334" s="181"/>
      <c r="G334" s="171"/>
      <c r="H334" s="703"/>
      <c r="I334" s="171"/>
      <c r="J334" s="682"/>
      <c r="K334" s="181"/>
      <c r="L334" s="181"/>
      <c r="M334" s="682"/>
      <c r="N334" s="181"/>
      <c r="O334" s="682"/>
      <c r="P334" s="181"/>
      <c r="Q334" s="181"/>
      <c r="R334" s="171"/>
      <c r="S334" s="171"/>
      <c r="T334" s="171"/>
      <c r="U334" s="171"/>
      <c r="V334" s="693"/>
      <c r="W334" s="171"/>
      <c r="X334" s="693"/>
      <c r="Y334" s="693"/>
      <c r="Z334" s="171"/>
      <c r="AA334" s="171"/>
      <c r="AB334" s="171"/>
      <c r="AC334" s="196"/>
      <c r="AD334" s="196"/>
      <c r="AE334" s="196"/>
      <c r="AF334" s="196"/>
      <c r="AG334" s="196"/>
      <c r="AH334" s="196"/>
      <c r="AI334" s="191"/>
      <c r="AJ334" s="191"/>
      <c r="AK334" s="191"/>
      <c r="AL334" s="191"/>
      <c r="AM334" s="191"/>
      <c r="AN334" s="191"/>
      <c r="AO334" s="193"/>
      <c r="AP334" s="193"/>
      <c r="AQ334" s="193"/>
      <c r="AR334" s="193"/>
      <c r="AS334" s="193"/>
      <c r="AT334" s="197"/>
      <c r="AU334" s="197"/>
      <c r="AV334" s="191"/>
      <c r="AW334" s="236"/>
      <c r="AX334" s="236"/>
    </row>
    <row r="335" spans="2:53" s="69" customFormat="1" ht="63">
      <c r="B335" s="660">
        <f>B332+1</f>
        <v>218</v>
      </c>
      <c r="C335" s="212" t="s">
        <v>1728</v>
      </c>
      <c r="D335" s="186"/>
      <c r="E335" s="660" t="s">
        <v>1156</v>
      </c>
      <c r="F335" s="660">
        <v>4</v>
      </c>
      <c r="G335" s="187">
        <v>4058</v>
      </c>
      <c r="H335" s="687"/>
      <c r="I335" s="187"/>
      <c r="J335" s="687"/>
      <c r="K335" s="187"/>
      <c r="L335" s="187"/>
      <c r="M335" s="687"/>
      <c r="N335" s="187"/>
      <c r="O335" s="688">
        <v>0.15</v>
      </c>
      <c r="P335" s="192">
        <f>G335*O335</f>
        <v>608.69999999999993</v>
      </c>
      <c r="Q335" s="187"/>
      <c r="R335" s="187">
        <f>G335+I335+K335+L335+N335+P335+Q335</f>
        <v>4666.7</v>
      </c>
      <c r="S335" s="187">
        <v>1</v>
      </c>
      <c r="T335" s="194"/>
      <c r="U335" s="194"/>
      <c r="V335" s="688">
        <v>0.1</v>
      </c>
      <c r="W335" s="187">
        <f>R335*V335</f>
        <v>466.67</v>
      </c>
      <c r="X335" s="674"/>
      <c r="Y335" s="688"/>
      <c r="Z335" s="187"/>
      <c r="AA335" s="187">
        <f>AH335</f>
        <v>3333.3</v>
      </c>
      <c r="AB335" s="187">
        <f>(R335+Z335+U335+W335)*S335+AA335</f>
        <v>8466.67</v>
      </c>
      <c r="AC335" s="689">
        <f>AF335</f>
        <v>0</v>
      </c>
      <c r="AD335" s="689">
        <f>AB335+AC335</f>
        <v>8466.67</v>
      </c>
      <c r="AE335" s="190">
        <f>AB335</f>
        <v>8466.67</v>
      </c>
      <c r="AF335" s="190">
        <f>AE335-AB335</f>
        <v>0</v>
      </c>
      <c r="AG335" s="689">
        <f>8000*S335</f>
        <v>8000</v>
      </c>
      <c r="AH335" s="190">
        <f>AG335-(R335*S335)</f>
        <v>3333.3</v>
      </c>
      <c r="AI335" s="191">
        <f>G335*S335</f>
        <v>4058</v>
      </c>
      <c r="AJ335" s="191">
        <f>G335*T335</f>
        <v>0</v>
      </c>
      <c r="AK335" s="191">
        <f>R335*S335</f>
        <v>4666.7</v>
      </c>
      <c r="AL335" s="191">
        <f>R335*T335</f>
        <v>0</v>
      </c>
      <c r="AM335" s="191">
        <f t="shared" ref="AM335:AN339" si="430">AK335-AI335</f>
        <v>608.69999999999982</v>
      </c>
      <c r="AN335" s="191">
        <f t="shared" si="430"/>
        <v>0</v>
      </c>
      <c r="AO335" s="193">
        <f>Z335*S335</f>
        <v>0</v>
      </c>
      <c r="AP335" s="193">
        <f>Z335*T335</f>
        <v>0</v>
      </c>
      <c r="AQ335" s="193">
        <f>AA335</f>
        <v>3333.3</v>
      </c>
      <c r="AR335" s="193">
        <f>W335*S335</f>
        <v>466.67</v>
      </c>
      <c r="AS335" s="193">
        <f>W335*T335</f>
        <v>0</v>
      </c>
      <c r="AT335" s="197">
        <f t="shared" si="394"/>
        <v>4666.7</v>
      </c>
      <c r="AU335" s="197">
        <f>AL335</f>
        <v>0</v>
      </c>
      <c r="AV335" s="191"/>
      <c r="AW335" s="236">
        <f>R335*S335</f>
        <v>4666.7</v>
      </c>
      <c r="AX335" s="236"/>
    </row>
    <row r="336" spans="2:53" s="69" customFormat="1" ht="63">
      <c r="B336" s="660">
        <f>1+B335</f>
        <v>219</v>
      </c>
      <c r="C336" s="212" t="s">
        <v>1728</v>
      </c>
      <c r="D336" s="186"/>
      <c r="E336" s="660" t="s">
        <v>1157</v>
      </c>
      <c r="F336" s="660">
        <v>4</v>
      </c>
      <c r="G336" s="187">
        <v>4058</v>
      </c>
      <c r="H336" s="687"/>
      <c r="I336" s="187"/>
      <c r="J336" s="687"/>
      <c r="K336" s="187"/>
      <c r="L336" s="187"/>
      <c r="M336" s="687"/>
      <c r="N336" s="187"/>
      <c r="O336" s="688">
        <v>0.15</v>
      </c>
      <c r="P336" s="192">
        <f>G336*O336</f>
        <v>608.69999999999993</v>
      </c>
      <c r="Q336" s="187"/>
      <c r="R336" s="187">
        <f>G336+I336+K336+L336+N336+P336+Q336</f>
        <v>4666.7</v>
      </c>
      <c r="S336" s="187">
        <v>1</v>
      </c>
      <c r="T336" s="187"/>
      <c r="U336" s="187"/>
      <c r="V336" s="688">
        <v>0.1</v>
      </c>
      <c r="W336" s="187">
        <f>R336*V336</f>
        <v>466.67</v>
      </c>
      <c r="X336" s="674"/>
      <c r="Y336" s="688"/>
      <c r="Z336" s="187"/>
      <c r="AA336" s="187">
        <f>AH336</f>
        <v>3333.3</v>
      </c>
      <c r="AB336" s="187">
        <f>(R336+Z336+U336+W336)*S336+AA336</f>
        <v>8466.67</v>
      </c>
      <c r="AC336" s="689">
        <f>AF336</f>
        <v>0</v>
      </c>
      <c r="AD336" s="689">
        <f>AB336+AC336</f>
        <v>8466.67</v>
      </c>
      <c r="AE336" s="190">
        <f>AB336</f>
        <v>8466.67</v>
      </c>
      <c r="AF336" s="190">
        <f>AE336-AB336</f>
        <v>0</v>
      </c>
      <c r="AG336" s="689">
        <f>8000*S336</f>
        <v>8000</v>
      </c>
      <c r="AH336" s="190">
        <f>AG336-(R336*S336)</f>
        <v>3333.3</v>
      </c>
      <c r="AI336" s="191">
        <f>G336*S336</f>
        <v>4058</v>
      </c>
      <c r="AJ336" s="191">
        <f>G336*T336</f>
        <v>0</v>
      </c>
      <c r="AK336" s="191">
        <f>R336*S336</f>
        <v>4666.7</v>
      </c>
      <c r="AL336" s="191">
        <f>R336*T336</f>
        <v>0</v>
      </c>
      <c r="AM336" s="191">
        <f t="shared" si="430"/>
        <v>608.69999999999982</v>
      </c>
      <c r="AN336" s="191">
        <f t="shared" si="430"/>
        <v>0</v>
      </c>
      <c r="AO336" s="193">
        <f>Z336*S336</f>
        <v>0</v>
      </c>
      <c r="AP336" s="193">
        <f>Z336*T336</f>
        <v>0</v>
      </c>
      <c r="AQ336" s="193">
        <f>AA336</f>
        <v>3333.3</v>
      </c>
      <c r="AR336" s="193">
        <f>W336*S336</f>
        <v>466.67</v>
      </c>
      <c r="AS336" s="193">
        <f>W336*T336</f>
        <v>0</v>
      </c>
      <c r="AT336" s="197">
        <f t="shared" si="394"/>
        <v>4666.7</v>
      </c>
      <c r="AU336" s="197">
        <f t="shared" si="394"/>
        <v>0</v>
      </c>
      <c r="AV336" s="191"/>
      <c r="AW336" s="236">
        <f>R336*S336</f>
        <v>4666.7</v>
      </c>
      <c r="AX336" s="236"/>
    </row>
    <row r="337" spans="2:53" s="69" customFormat="1" ht="63">
      <c r="B337" s="660">
        <f>1+B336</f>
        <v>220</v>
      </c>
      <c r="C337" s="212" t="s">
        <v>1728</v>
      </c>
      <c r="D337" s="186"/>
      <c r="E337" s="660" t="s">
        <v>1158</v>
      </c>
      <c r="F337" s="660">
        <v>4</v>
      </c>
      <c r="G337" s="187">
        <v>4058</v>
      </c>
      <c r="H337" s="687"/>
      <c r="I337" s="187"/>
      <c r="J337" s="687"/>
      <c r="K337" s="187"/>
      <c r="L337" s="187"/>
      <c r="M337" s="687"/>
      <c r="N337" s="187"/>
      <c r="O337" s="688">
        <v>0.15</v>
      </c>
      <c r="P337" s="192">
        <f>G337*O337</f>
        <v>608.69999999999993</v>
      </c>
      <c r="Q337" s="187"/>
      <c r="R337" s="187">
        <f>G337+I337+K337+L337+N337+P337+Q337</f>
        <v>4666.7</v>
      </c>
      <c r="S337" s="187">
        <v>1</v>
      </c>
      <c r="T337" s="187"/>
      <c r="U337" s="187"/>
      <c r="V337" s="688">
        <v>0.1</v>
      </c>
      <c r="W337" s="187">
        <f>R337*V337</f>
        <v>466.67</v>
      </c>
      <c r="X337" s="674"/>
      <c r="Y337" s="688"/>
      <c r="Z337" s="187"/>
      <c r="AA337" s="187">
        <f>AH337</f>
        <v>3333.3</v>
      </c>
      <c r="AB337" s="187">
        <f>(R337+Z337+U337+W337)*S337+AA337</f>
        <v>8466.67</v>
      </c>
      <c r="AC337" s="689">
        <f>AF337</f>
        <v>0</v>
      </c>
      <c r="AD337" s="689">
        <f>AB337+AC337</f>
        <v>8466.67</v>
      </c>
      <c r="AE337" s="190">
        <f>AB337</f>
        <v>8466.67</v>
      </c>
      <c r="AF337" s="190">
        <f>AE337-AB337</f>
        <v>0</v>
      </c>
      <c r="AG337" s="689">
        <f>8000*S337</f>
        <v>8000</v>
      </c>
      <c r="AH337" s="190">
        <f>AG337-(R337*S337)</f>
        <v>3333.3</v>
      </c>
      <c r="AI337" s="191">
        <f>G337*S337</f>
        <v>4058</v>
      </c>
      <c r="AJ337" s="191">
        <f>G337*T337</f>
        <v>0</v>
      </c>
      <c r="AK337" s="191">
        <f>R337*S337</f>
        <v>4666.7</v>
      </c>
      <c r="AL337" s="191">
        <f>R337*T337</f>
        <v>0</v>
      </c>
      <c r="AM337" s="191">
        <f t="shared" si="430"/>
        <v>608.69999999999982</v>
      </c>
      <c r="AN337" s="191">
        <f t="shared" si="430"/>
        <v>0</v>
      </c>
      <c r="AO337" s="193">
        <f>Z337*S337</f>
        <v>0</v>
      </c>
      <c r="AP337" s="193">
        <f>Z337*T337</f>
        <v>0</v>
      </c>
      <c r="AQ337" s="193">
        <f>AA337</f>
        <v>3333.3</v>
      </c>
      <c r="AR337" s="193">
        <f>W337*S337</f>
        <v>466.67</v>
      </c>
      <c r="AS337" s="193">
        <f>W337*T337</f>
        <v>0</v>
      </c>
      <c r="AT337" s="197">
        <f t="shared" si="394"/>
        <v>4666.7</v>
      </c>
      <c r="AU337" s="197">
        <f t="shared" si="394"/>
        <v>0</v>
      </c>
      <c r="AV337" s="191"/>
      <c r="AW337" s="236">
        <f>R337*S337</f>
        <v>4666.7</v>
      </c>
      <c r="AX337" s="236"/>
    </row>
    <row r="338" spans="2:53" s="69" customFormat="1" ht="63">
      <c r="B338" s="660">
        <f>1+B337</f>
        <v>221</v>
      </c>
      <c r="C338" s="212" t="s">
        <v>1728</v>
      </c>
      <c r="D338" s="186"/>
      <c r="E338" s="660" t="s">
        <v>1159</v>
      </c>
      <c r="F338" s="660">
        <v>4</v>
      </c>
      <c r="G338" s="187">
        <v>4058</v>
      </c>
      <c r="H338" s="687"/>
      <c r="I338" s="187"/>
      <c r="J338" s="687"/>
      <c r="K338" s="187"/>
      <c r="L338" s="187"/>
      <c r="M338" s="687"/>
      <c r="N338" s="187"/>
      <c r="O338" s="688">
        <v>0.15</v>
      </c>
      <c r="P338" s="192">
        <f>G338*O338</f>
        <v>608.69999999999993</v>
      </c>
      <c r="Q338" s="187"/>
      <c r="R338" s="187">
        <f>G338+I338+K338+L338+N338+P338+Q338</f>
        <v>4666.7</v>
      </c>
      <c r="S338" s="187">
        <v>1</v>
      </c>
      <c r="T338" s="187"/>
      <c r="U338" s="187"/>
      <c r="V338" s="688">
        <v>0.1</v>
      </c>
      <c r="W338" s="187">
        <f>R338*V338</f>
        <v>466.67</v>
      </c>
      <c r="X338" s="674"/>
      <c r="Y338" s="688"/>
      <c r="Z338" s="187"/>
      <c r="AA338" s="187">
        <f>AH338</f>
        <v>3333.3</v>
      </c>
      <c r="AB338" s="187">
        <f>(R338+Z338+U338+W338)*S338+AA338</f>
        <v>8466.67</v>
      </c>
      <c r="AC338" s="689">
        <f>AF338</f>
        <v>0</v>
      </c>
      <c r="AD338" s="689">
        <f>AB338+AC338</f>
        <v>8466.67</v>
      </c>
      <c r="AE338" s="190">
        <f>AB338</f>
        <v>8466.67</v>
      </c>
      <c r="AF338" s="190">
        <f>AE338-AB338</f>
        <v>0</v>
      </c>
      <c r="AG338" s="689">
        <f>8000*S338</f>
        <v>8000</v>
      </c>
      <c r="AH338" s="190">
        <f>AG338-(R338*S338)</f>
        <v>3333.3</v>
      </c>
      <c r="AI338" s="191">
        <f>G338*S338</f>
        <v>4058</v>
      </c>
      <c r="AJ338" s="191">
        <f>G338*T338</f>
        <v>0</v>
      </c>
      <c r="AK338" s="191">
        <f>R338*S338</f>
        <v>4666.7</v>
      </c>
      <c r="AL338" s="191">
        <f>R338*T338</f>
        <v>0</v>
      </c>
      <c r="AM338" s="191">
        <f t="shared" si="430"/>
        <v>608.69999999999982</v>
      </c>
      <c r="AN338" s="191">
        <f t="shared" si="430"/>
        <v>0</v>
      </c>
      <c r="AO338" s="193">
        <f>Z338*S338</f>
        <v>0</v>
      </c>
      <c r="AP338" s="193">
        <f>Z338*T338</f>
        <v>0</v>
      </c>
      <c r="AQ338" s="193">
        <f>AA338</f>
        <v>3333.3</v>
      </c>
      <c r="AR338" s="193">
        <f>W338*S338</f>
        <v>466.67</v>
      </c>
      <c r="AS338" s="193">
        <f>W338*T338</f>
        <v>0</v>
      </c>
      <c r="AT338" s="197">
        <f t="shared" si="394"/>
        <v>4666.7</v>
      </c>
      <c r="AU338" s="197">
        <f t="shared" si="394"/>
        <v>0</v>
      </c>
      <c r="AV338" s="191"/>
      <c r="AW338" s="236">
        <f>R338*S338</f>
        <v>4666.7</v>
      </c>
      <c r="AX338" s="236"/>
    </row>
    <row r="339" spans="2:53" s="69" customFormat="1" ht="63">
      <c r="B339" s="660">
        <f>1+B338</f>
        <v>222</v>
      </c>
      <c r="C339" s="212" t="s">
        <v>1728</v>
      </c>
      <c r="D339" s="186"/>
      <c r="E339" s="660" t="s">
        <v>301</v>
      </c>
      <c r="F339" s="660">
        <v>4</v>
      </c>
      <c r="G339" s="187">
        <v>4058</v>
      </c>
      <c r="H339" s="687"/>
      <c r="I339" s="187"/>
      <c r="J339" s="692"/>
      <c r="K339" s="194"/>
      <c r="L339" s="194"/>
      <c r="M339" s="692"/>
      <c r="N339" s="194"/>
      <c r="O339" s="688">
        <v>0.15</v>
      </c>
      <c r="P339" s="192">
        <f>G339*O339</f>
        <v>608.69999999999993</v>
      </c>
      <c r="Q339" s="194"/>
      <c r="R339" s="187">
        <f>G339+I339+K339+L339+N339+P339+Q339</f>
        <v>4666.7</v>
      </c>
      <c r="S339" s="187">
        <v>1</v>
      </c>
      <c r="T339" s="194"/>
      <c r="U339" s="194"/>
      <c r="V339" s="688">
        <v>0.1</v>
      </c>
      <c r="W339" s="187">
        <f>R339*V339</f>
        <v>466.67</v>
      </c>
      <c r="X339" s="674"/>
      <c r="Y339" s="688"/>
      <c r="Z339" s="187"/>
      <c r="AA339" s="187">
        <f>AH339</f>
        <v>3333.3</v>
      </c>
      <c r="AB339" s="187">
        <f>(R339+Z339+U339+W339)*S339+AA339</f>
        <v>8466.67</v>
      </c>
      <c r="AC339" s="689">
        <f>AF339</f>
        <v>0</v>
      </c>
      <c r="AD339" s="689">
        <f>AB339+AC339</f>
        <v>8466.67</v>
      </c>
      <c r="AE339" s="190">
        <f>AB339</f>
        <v>8466.67</v>
      </c>
      <c r="AF339" s="190">
        <f>AE339-AB339</f>
        <v>0</v>
      </c>
      <c r="AG339" s="689">
        <f>8000*S339</f>
        <v>8000</v>
      </c>
      <c r="AH339" s="190">
        <f>AG339-(R339*S339)</f>
        <v>3333.3</v>
      </c>
      <c r="AI339" s="191">
        <f>G339*S339</f>
        <v>4058</v>
      </c>
      <c r="AJ339" s="191">
        <f>G339*T339</f>
        <v>0</v>
      </c>
      <c r="AK339" s="191">
        <f>R339*S339</f>
        <v>4666.7</v>
      </c>
      <c r="AL339" s="191">
        <f>R339*T339</f>
        <v>0</v>
      </c>
      <c r="AM339" s="191">
        <f t="shared" si="430"/>
        <v>608.69999999999982</v>
      </c>
      <c r="AN339" s="191">
        <f t="shared" si="430"/>
        <v>0</v>
      </c>
      <c r="AO339" s="193">
        <f>Z339*S339</f>
        <v>0</v>
      </c>
      <c r="AP339" s="193">
        <f>Z339*T339</f>
        <v>0</v>
      </c>
      <c r="AQ339" s="193">
        <f>AA339</f>
        <v>3333.3</v>
      </c>
      <c r="AR339" s="193">
        <f>W339*S339</f>
        <v>466.67</v>
      </c>
      <c r="AS339" s="193">
        <f>W339*T339</f>
        <v>0</v>
      </c>
      <c r="AT339" s="197">
        <f t="shared" si="394"/>
        <v>4666.7</v>
      </c>
      <c r="AU339" s="197">
        <f t="shared" si="394"/>
        <v>0</v>
      </c>
      <c r="AV339" s="191"/>
      <c r="AW339" s="236">
        <f>R339*S339</f>
        <v>4666.7</v>
      </c>
      <c r="AX339" s="236"/>
    </row>
    <row r="340" spans="2:53" s="69" customFormat="1" ht="31.5">
      <c r="B340" s="660"/>
      <c r="C340" s="168" t="s">
        <v>1662</v>
      </c>
      <c r="D340" s="195"/>
      <c r="E340" s="181"/>
      <c r="F340" s="181"/>
      <c r="G340" s="171">
        <f>SUM(G335:G339)</f>
        <v>20290</v>
      </c>
      <c r="H340" s="682"/>
      <c r="I340" s="181"/>
      <c r="J340" s="682"/>
      <c r="K340" s="181"/>
      <c r="L340" s="181"/>
      <c r="M340" s="682"/>
      <c r="N340" s="181"/>
      <c r="O340" s="682"/>
      <c r="P340" s="171">
        <f>SUM(P335:P339)</f>
        <v>3043.4999999999995</v>
      </c>
      <c r="Q340" s="181"/>
      <c r="R340" s="171">
        <f>SUM(R335:R339)</f>
        <v>23333.5</v>
      </c>
      <c r="S340" s="171">
        <f>SUM(S335:S339)</f>
        <v>5</v>
      </c>
      <c r="T340" s="171">
        <f>SUM(T335:T339)</f>
        <v>0</v>
      </c>
      <c r="U340" s="171"/>
      <c r="V340" s="693"/>
      <c r="W340" s="171">
        <f>SUM(W335:W339)</f>
        <v>2333.35</v>
      </c>
      <c r="X340" s="693"/>
      <c r="Y340" s="693"/>
      <c r="Z340" s="171"/>
      <c r="AA340" s="171">
        <f>SUM(AA335:AA339)</f>
        <v>16666.5</v>
      </c>
      <c r="AB340" s="171">
        <f>SUM(AB335:AB339)</f>
        <v>42333.35</v>
      </c>
      <c r="AC340" s="171">
        <f>SUM(AC335:AC339)</f>
        <v>0</v>
      </c>
      <c r="AD340" s="171">
        <f>SUM(AD335:AD339)</f>
        <v>42333.35</v>
      </c>
      <c r="AE340" s="171">
        <f t="shared" ref="AE340:AV340" si="431">SUM(AE335:AE339)</f>
        <v>42333.35</v>
      </c>
      <c r="AF340" s="171">
        <f t="shared" si="431"/>
        <v>0</v>
      </c>
      <c r="AG340" s="171">
        <f t="shared" si="431"/>
        <v>40000</v>
      </c>
      <c r="AH340" s="171">
        <f t="shared" si="431"/>
        <v>16666.5</v>
      </c>
      <c r="AI340" s="171">
        <f t="shared" si="431"/>
        <v>20290</v>
      </c>
      <c r="AJ340" s="171">
        <f t="shared" si="431"/>
        <v>0</v>
      </c>
      <c r="AK340" s="171">
        <f t="shared" si="431"/>
        <v>23333.5</v>
      </c>
      <c r="AL340" s="171">
        <f t="shared" si="431"/>
        <v>0</v>
      </c>
      <c r="AM340" s="171">
        <f t="shared" si="431"/>
        <v>3043.4999999999991</v>
      </c>
      <c r="AN340" s="171">
        <f t="shared" si="431"/>
        <v>0</v>
      </c>
      <c r="AO340" s="171">
        <f t="shared" si="431"/>
        <v>0</v>
      </c>
      <c r="AP340" s="171">
        <f t="shared" si="431"/>
        <v>0</v>
      </c>
      <c r="AQ340" s="171">
        <f t="shared" si="431"/>
        <v>16666.5</v>
      </c>
      <c r="AR340" s="171">
        <f t="shared" si="431"/>
        <v>2333.35</v>
      </c>
      <c r="AS340" s="171">
        <f t="shared" si="431"/>
        <v>0</v>
      </c>
      <c r="AT340" s="171">
        <f t="shared" si="431"/>
        <v>23333.5</v>
      </c>
      <c r="AU340" s="171">
        <f t="shared" si="431"/>
        <v>0</v>
      </c>
      <c r="AV340" s="171">
        <f t="shared" si="431"/>
        <v>0</v>
      </c>
      <c r="AW340" s="171">
        <f>SUM(AW335:AW339)</f>
        <v>23333.5</v>
      </c>
      <c r="AX340" s="171">
        <f>SUM(AX335:AX339)</f>
        <v>0</v>
      </c>
    </row>
    <row r="341" spans="2:53" s="69" customFormat="1" ht="31.5">
      <c r="B341" s="660"/>
      <c r="C341" s="168" t="s">
        <v>1223</v>
      </c>
      <c r="D341" s="195"/>
      <c r="E341" s="181"/>
      <c r="F341" s="181"/>
      <c r="G341" s="172">
        <f>G319+G333+G340</f>
        <v>151124</v>
      </c>
      <c r="H341" s="693"/>
      <c r="I341" s="171"/>
      <c r="J341" s="693"/>
      <c r="K341" s="171"/>
      <c r="L341" s="171"/>
      <c r="M341" s="693"/>
      <c r="N341" s="171"/>
      <c r="O341" s="693"/>
      <c r="P341" s="172">
        <f>P319+P333+P340</f>
        <v>22755.825000000001</v>
      </c>
      <c r="Q341" s="171"/>
      <c r="R341" s="171">
        <f>R319+R333+R340</f>
        <v>176007.72500000003</v>
      </c>
      <c r="S341" s="171">
        <f>S319+S333+S340</f>
        <v>20.25</v>
      </c>
      <c r="T341" s="171">
        <f>T319+T333+T340</f>
        <v>2.25</v>
      </c>
      <c r="U341" s="171"/>
      <c r="V341" s="693"/>
      <c r="W341" s="171">
        <f>W319+W333+W340</f>
        <v>2333.35</v>
      </c>
      <c r="X341" s="693"/>
      <c r="Y341" s="693"/>
      <c r="Z341" s="171">
        <f>Z319+Z333+Z340</f>
        <v>34265.58249999999</v>
      </c>
      <c r="AA341" s="171">
        <f>AA319+AA333+AA340</f>
        <v>19039.239999999998</v>
      </c>
      <c r="AB341" s="171">
        <f>AB319+AB333+AB340</f>
        <v>199268.94125</v>
      </c>
      <c r="AC341" s="171">
        <f>AC319+AC333+AC340</f>
        <v>128064.40875000002</v>
      </c>
      <c r="AD341" s="171">
        <f>AD319+AD333+AD340</f>
        <v>327333.34999999998</v>
      </c>
      <c r="AE341" s="171">
        <f t="shared" ref="AE341:AX341" si="432">AE319+AE333+AE340</f>
        <v>327333.34999999998</v>
      </c>
      <c r="AF341" s="171">
        <f t="shared" si="432"/>
        <v>128064.40875000002</v>
      </c>
      <c r="AG341" s="171">
        <f>AG319+AG333+AG340</f>
        <v>180000</v>
      </c>
      <c r="AH341" s="171">
        <f t="shared" si="432"/>
        <v>2103.6487500000076</v>
      </c>
      <c r="AI341" s="171">
        <f t="shared" si="432"/>
        <v>102697</v>
      </c>
      <c r="AJ341" s="171">
        <f t="shared" si="432"/>
        <v>14449</v>
      </c>
      <c r="AK341" s="171">
        <f t="shared" si="432"/>
        <v>120316.67499999999</v>
      </c>
      <c r="AL341" s="171">
        <f t="shared" si="432"/>
        <v>16616.349999999999</v>
      </c>
      <c r="AM341" s="171">
        <f t="shared" si="432"/>
        <v>17619.674999999999</v>
      </c>
      <c r="AN341" s="171">
        <f t="shared" si="432"/>
        <v>2167.3499999999995</v>
      </c>
      <c r="AO341" s="171">
        <f t="shared" si="432"/>
        <v>24490.323749999996</v>
      </c>
      <c r="AP341" s="171">
        <f t="shared" si="432"/>
        <v>4539.4237499999999</v>
      </c>
      <c r="AQ341" s="171">
        <f t="shared" si="432"/>
        <v>17667.824999999997</v>
      </c>
      <c r="AR341" s="171">
        <f t="shared" si="432"/>
        <v>2333.35</v>
      </c>
      <c r="AS341" s="171">
        <f t="shared" si="432"/>
        <v>0</v>
      </c>
      <c r="AT341" s="171">
        <f t="shared" si="432"/>
        <v>120316.67499999999</v>
      </c>
      <c r="AU341" s="171">
        <f t="shared" si="432"/>
        <v>16616.349999999999</v>
      </c>
      <c r="AV341" s="171">
        <f t="shared" si="432"/>
        <v>0</v>
      </c>
      <c r="AW341" s="171">
        <f t="shared" si="432"/>
        <v>150233.34999999998</v>
      </c>
      <c r="AX341" s="171">
        <f t="shared" si="432"/>
        <v>0</v>
      </c>
    </row>
    <row r="342" spans="2:53" s="69" customFormat="1" ht="33">
      <c r="B342" s="660"/>
      <c r="C342" s="181" t="s">
        <v>1747</v>
      </c>
      <c r="D342" s="195"/>
      <c r="E342" s="181"/>
      <c r="F342" s="181"/>
      <c r="G342" s="173"/>
      <c r="H342" s="704"/>
      <c r="I342" s="173"/>
      <c r="J342" s="704"/>
      <c r="K342" s="173"/>
      <c r="L342" s="173"/>
      <c r="M342" s="704"/>
      <c r="N342" s="173"/>
      <c r="O342" s="704"/>
      <c r="P342" s="173"/>
      <c r="Q342" s="173"/>
      <c r="R342" s="173"/>
      <c r="S342" s="171"/>
      <c r="T342" s="171"/>
      <c r="U342" s="173"/>
      <c r="V342" s="704"/>
      <c r="W342" s="173"/>
      <c r="X342" s="704"/>
      <c r="Y342" s="704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73"/>
      <c r="AT342" s="197">
        <f t="shared" si="394"/>
        <v>0</v>
      </c>
      <c r="AU342" s="197">
        <f t="shared" si="394"/>
        <v>0</v>
      </c>
      <c r="AV342" s="173"/>
      <c r="AW342" s="173"/>
      <c r="AX342" s="236"/>
    </row>
    <row r="343" spans="2:53" s="69" customFormat="1" ht="33">
      <c r="B343" s="660"/>
      <c r="C343" s="179" t="s">
        <v>1028</v>
      </c>
      <c r="D343" s="180"/>
      <c r="E343" s="181"/>
      <c r="F343" s="181"/>
      <c r="G343" s="181"/>
      <c r="H343" s="682"/>
      <c r="I343" s="181"/>
      <c r="J343" s="682"/>
      <c r="K343" s="181"/>
      <c r="L343" s="181"/>
      <c r="M343" s="682"/>
      <c r="N343" s="181"/>
      <c r="O343" s="682"/>
      <c r="P343" s="181"/>
      <c r="Q343" s="181"/>
      <c r="R343" s="181"/>
      <c r="S343" s="181"/>
      <c r="T343" s="181"/>
      <c r="U343" s="181"/>
      <c r="V343" s="683"/>
      <c r="W343" s="181"/>
      <c r="X343" s="683"/>
      <c r="Y343" s="683"/>
      <c r="Z343" s="181"/>
      <c r="AA343" s="181"/>
      <c r="AB343" s="181"/>
      <c r="AC343" s="183"/>
      <c r="AD343" s="183"/>
      <c r="AE343" s="183"/>
      <c r="AF343" s="183"/>
      <c r="AG343" s="183"/>
      <c r="AH343" s="183"/>
      <c r="AI343" s="191">
        <f>G343*S343</f>
        <v>0</v>
      </c>
      <c r="AJ343" s="191">
        <f>G343*T343</f>
        <v>0</v>
      </c>
      <c r="AK343" s="191">
        <f>R343*S343</f>
        <v>0</v>
      </c>
      <c r="AL343" s="191">
        <f>R343*T343</f>
        <v>0</v>
      </c>
      <c r="AM343" s="191">
        <f t="shared" ref="AM343:AN347" si="433">AK343-AI343</f>
        <v>0</v>
      </c>
      <c r="AN343" s="191">
        <f t="shared" si="433"/>
        <v>0</v>
      </c>
      <c r="AO343" s="193">
        <f>Z343*S343</f>
        <v>0</v>
      </c>
      <c r="AP343" s="193">
        <f>Z343*T343</f>
        <v>0</v>
      </c>
      <c r="AQ343" s="193">
        <f>AA343</f>
        <v>0</v>
      </c>
      <c r="AR343" s="193">
        <f>W343*S343</f>
        <v>0</v>
      </c>
      <c r="AS343" s="193">
        <f>W343*T343</f>
        <v>0</v>
      </c>
      <c r="AT343" s="197">
        <f t="shared" si="394"/>
        <v>0</v>
      </c>
      <c r="AU343" s="197">
        <f t="shared" si="394"/>
        <v>0</v>
      </c>
      <c r="AV343" s="191"/>
      <c r="AW343" s="236"/>
      <c r="AX343" s="236"/>
    </row>
    <row r="344" spans="2:53" s="69" customFormat="1" ht="33">
      <c r="B344" s="660"/>
      <c r="C344" s="208" t="s">
        <v>1309</v>
      </c>
      <c r="D344" s="205"/>
      <c r="E344" s="206"/>
      <c r="F344" s="206"/>
      <c r="G344" s="206"/>
      <c r="H344" s="696"/>
      <c r="I344" s="206"/>
      <c r="J344" s="696"/>
      <c r="K344" s="206"/>
      <c r="L344" s="206"/>
      <c r="M344" s="696"/>
      <c r="N344" s="206"/>
      <c r="O344" s="696"/>
      <c r="P344" s="206"/>
      <c r="Q344" s="206"/>
      <c r="R344" s="206"/>
      <c r="S344" s="206"/>
      <c r="T344" s="206"/>
      <c r="U344" s="206"/>
      <c r="V344" s="697"/>
      <c r="W344" s="206"/>
      <c r="X344" s="697"/>
      <c r="Y344" s="697"/>
      <c r="Z344" s="206"/>
      <c r="AA344" s="206"/>
      <c r="AB344" s="206"/>
      <c r="AC344" s="207"/>
      <c r="AD344" s="207"/>
      <c r="AE344" s="207"/>
      <c r="AF344" s="207"/>
      <c r="AG344" s="207"/>
      <c r="AH344" s="207"/>
      <c r="AI344" s="191">
        <f>G344*S344</f>
        <v>0</v>
      </c>
      <c r="AJ344" s="191">
        <f>G344*T344</f>
        <v>0</v>
      </c>
      <c r="AK344" s="191">
        <f>R344*S344</f>
        <v>0</v>
      </c>
      <c r="AL344" s="191">
        <f>R344*T344</f>
        <v>0</v>
      </c>
      <c r="AM344" s="191">
        <f t="shared" si="433"/>
        <v>0</v>
      </c>
      <c r="AN344" s="191">
        <f t="shared" si="433"/>
        <v>0</v>
      </c>
      <c r="AO344" s="193">
        <f>Z344*S344</f>
        <v>0</v>
      </c>
      <c r="AP344" s="193">
        <f>Z344*T344</f>
        <v>0</v>
      </c>
      <c r="AQ344" s="193">
        <f>AA344</f>
        <v>0</v>
      </c>
      <c r="AR344" s="193">
        <f>W344*S344</f>
        <v>0</v>
      </c>
      <c r="AS344" s="193">
        <f>W344*T344</f>
        <v>0</v>
      </c>
      <c r="AT344" s="197">
        <f t="shared" si="394"/>
        <v>0</v>
      </c>
      <c r="AU344" s="197">
        <f t="shared" si="394"/>
        <v>0</v>
      </c>
      <c r="AV344" s="191"/>
      <c r="AW344" s="236"/>
      <c r="AX344" s="236"/>
      <c r="BA344" s="70"/>
    </row>
    <row r="345" spans="2:53" s="69" customFormat="1" ht="33">
      <c r="B345" s="660"/>
      <c r="C345" s="185"/>
      <c r="D345" s="186"/>
      <c r="E345" s="660"/>
      <c r="F345" s="660"/>
      <c r="G345" s="187"/>
      <c r="H345" s="687"/>
      <c r="I345" s="187"/>
      <c r="J345" s="687"/>
      <c r="K345" s="187"/>
      <c r="L345" s="187"/>
      <c r="M345" s="687"/>
      <c r="N345" s="181"/>
      <c r="O345" s="682"/>
      <c r="P345" s="181"/>
      <c r="Q345" s="187"/>
      <c r="R345" s="187">
        <f>G345+I345+K345+L345+N345+P345+Q345</f>
        <v>0</v>
      </c>
      <c r="S345" s="187"/>
      <c r="T345" s="187"/>
      <c r="U345" s="187"/>
      <c r="V345" s="687"/>
      <c r="W345" s="187"/>
      <c r="X345" s="674"/>
      <c r="Y345" s="688">
        <v>0</v>
      </c>
      <c r="Z345" s="187">
        <f>R345*Y345</f>
        <v>0</v>
      </c>
      <c r="AA345" s="187">
        <f>AH345</f>
        <v>0</v>
      </c>
      <c r="AB345" s="187">
        <f>(R345+Z345)*T345+AA345</f>
        <v>0</v>
      </c>
      <c r="AC345" s="689">
        <f>AF345</f>
        <v>0</v>
      </c>
      <c r="AD345" s="689">
        <f>AB345+AC345</f>
        <v>0</v>
      </c>
      <c r="AE345" s="190">
        <f>20000*T345</f>
        <v>0</v>
      </c>
      <c r="AF345" s="190">
        <f>AE345-AB345</f>
        <v>0</v>
      </c>
      <c r="AG345" s="689">
        <f>8000*T345</f>
        <v>0</v>
      </c>
      <c r="AH345" s="190">
        <f>AG345-(R345*T345+Z345)</f>
        <v>0</v>
      </c>
      <c r="AI345" s="191">
        <f>G345*S345</f>
        <v>0</v>
      </c>
      <c r="AJ345" s="191">
        <f>G345*T345</f>
        <v>0</v>
      </c>
      <c r="AK345" s="191">
        <f>R345*S345</f>
        <v>0</v>
      </c>
      <c r="AL345" s="191">
        <f>R345*T345</f>
        <v>0</v>
      </c>
      <c r="AM345" s="191">
        <f t="shared" si="433"/>
        <v>0</v>
      </c>
      <c r="AN345" s="191">
        <f t="shared" si="433"/>
        <v>0</v>
      </c>
      <c r="AO345" s="193">
        <f>Z345*S345</f>
        <v>0</v>
      </c>
      <c r="AP345" s="193">
        <f>Z345*T345</f>
        <v>0</v>
      </c>
      <c r="AQ345" s="193">
        <f>AA345</f>
        <v>0</v>
      </c>
      <c r="AR345" s="193">
        <f>W345*S345</f>
        <v>0</v>
      </c>
      <c r="AS345" s="193">
        <f>W345*T345</f>
        <v>0</v>
      </c>
      <c r="AT345" s="197">
        <f t="shared" si="394"/>
        <v>0</v>
      </c>
      <c r="AU345" s="197">
        <f t="shared" si="394"/>
        <v>0</v>
      </c>
      <c r="AV345" s="191"/>
      <c r="AW345" s="236">
        <f>R345*T345</f>
        <v>0</v>
      </c>
      <c r="AX345" s="236"/>
    </row>
    <row r="346" spans="2:53" s="69" customFormat="1" ht="33">
      <c r="B346" s="660"/>
      <c r="C346" s="185"/>
      <c r="D346" s="186"/>
      <c r="E346" s="660"/>
      <c r="F346" s="660"/>
      <c r="G346" s="187"/>
      <c r="H346" s="687"/>
      <c r="I346" s="187"/>
      <c r="J346" s="687"/>
      <c r="K346" s="187"/>
      <c r="L346" s="187"/>
      <c r="M346" s="687"/>
      <c r="N346" s="181"/>
      <c r="O346" s="682"/>
      <c r="P346" s="181"/>
      <c r="Q346" s="187"/>
      <c r="R346" s="187">
        <f>G346+I346+K346+L346+N346+P346+Q346</f>
        <v>0</v>
      </c>
      <c r="S346" s="187"/>
      <c r="T346" s="187"/>
      <c r="U346" s="187"/>
      <c r="V346" s="687"/>
      <c r="W346" s="187"/>
      <c r="X346" s="674"/>
      <c r="Y346" s="688"/>
      <c r="Z346" s="187">
        <f>R346*Y346</f>
        <v>0</v>
      </c>
      <c r="AA346" s="187">
        <f>AH346</f>
        <v>0</v>
      </c>
      <c r="AB346" s="187">
        <f>(R346+Z346)*S346+AA346</f>
        <v>0</v>
      </c>
      <c r="AC346" s="689">
        <f>AF346</f>
        <v>0</v>
      </c>
      <c r="AD346" s="689">
        <f>AB346+AC346</f>
        <v>0</v>
      </c>
      <c r="AE346" s="190">
        <f>20000*S346</f>
        <v>0</v>
      </c>
      <c r="AF346" s="190">
        <f>AE346-AB346</f>
        <v>0</v>
      </c>
      <c r="AG346" s="689">
        <f>8000*S346</f>
        <v>0</v>
      </c>
      <c r="AH346" s="190">
        <f>AG346-(R346+Z346)*S346</f>
        <v>0</v>
      </c>
      <c r="AI346" s="191">
        <f>G346*S346</f>
        <v>0</v>
      </c>
      <c r="AJ346" s="191">
        <f>G346*T346</f>
        <v>0</v>
      </c>
      <c r="AK346" s="191">
        <f>R346*S346</f>
        <v>0</v>
      </c>
      <c r="AL346" s="191">
        <f>R346*T346</f>
        <v>0</v>
      </c>
      <c r="AM346" s="191">
        <f t="shared" si="433"/>
        <v>0</v>
      </c>
      <c r="AN346" s="191">
        <f t="shared" si="433"/>
        <v>0</v>
      </c>
      <c r="AO346" s="193">
        <f>Z346*S346</f>
        <v>0</v>
      </c>
      <c r="AP346" s="193">
        <f>Z346*T346</f>
        <v>0</v>
      </c>
      <c r="AQ346" s="193">
        <f>AA346</f>
        <v>0</v>
      </c>
      <c r="AR346" s="193">
        <f>W346*S346</f>
        <v>0</v>
      </c>
      <c r="AS346" s="193">
        <f>W346*T346</f>
        <v>0</v>
      </c>
      <c r="AT346" s="197">
        <f t="shared" si="394"/>
        <v>0</v>
      </c>
      <c r="AU346" s="197">
        <f t="shared" si="394"/>
        <v>0</v>
      </c>
      <c r="AV346" s="191"/>
      <c r="AW346" s="236">
        <f>R346*S346</f>
        <v>0</v>
      </c>
      <c r="AX346" s="236"/>
    </row>
    <row r="347" spans="2:53" s="69" customFormat="1" ht="58.5">
      <c r="B347" s="660">
        <f>B339+1</f>
        <v>223</v>
      </c>
      <c r="C347" s="185" t="s">
        <v>302</v>
      </c>
      <c r="D347" s="186" t="s">
        <v>303</v>
      </c>
      <c r="E347" s="660" t="s">
        <v>116</v>
      </c>
      <c r="F347" s="660">
        <v>10</v>
      </c>
      <c r="G347" s="187">
        <v>5815</v>
      </c>
      <c r="H347" s="687"/>
      <c r="I347" s="187"/>
      <c r="J347" s="687"/>
      <c r="K347" s="187"/>
      <c r="L347" s="187"/>
      <c r="M347" s="687"/>
      <c r="N347" s="181"/>
      <c r="O347" s="682"/>
      <c r="P347" s="181"/>
      <c r="Q347" s="187"/>
      <c r="R347" s="187">
        <f>G347+I347+K347+L347+N347+P347+Q347</f>
        <v>5815</v>
      </c>
      <c r="S347" s="187">
        <v>1</v>
      </c>
      <c r="T347" s="187"/>
      <c r="U347" s="187"/>
      <c r="V347" s="687"/>
      <c r="W347" s="187"/>
      <c r="X347" s="674">
        <v>2</v>
      </c>
      <c r="Y347" s="688">
        <v>0</v>
      </c>
      <c r="Z347" s="187">
        <f>R347*Y347</f>
        <v>0</v>
      </c>
      <c r="AA347" s="187">
        <f>AH347</f>
        <v>2185</v>
      </c>
      <c r="AB347" s="187">
        <f>(R347+Z347)*S347+AA347</f>
        <v>8000</v>
      </c>
      <c r="AC347" s="689">
        <f>AF347</f>
        <v>12000</v>
      </c>
      <c r="AD347" s="689">
        <f>AB347+AC347</f>
        <v>20000</v>
      </c>
      <c r="AE347" s="190">
        <f>20000*S347</f>
        <v>20000</v>
      </c>
      <c r="AF347" s="190">
        <f>AE347-AB347</f>
        <v>12000</v>
      </c>
      <c r="AG347" s="689">
        <f>8000*S347</f>
        <v>8000</v>
      </c>
      <c r="AH347" s="190">
        <f>AG347-(R347+Z347)*S347</f>
        <v>2185</v>
      </c>
      <c r="AI347" s="191">
        <f>G347*S347</f>
        <v>5815</v>
      </c>
      <c r="AJ347" s="191">
        <f>G347*T347</f>
        <v>0</v>
      </c>
      <c r="AK347" s="191">
        <f>R347*S347</f>
        <v>5815</v>
      </c>
      <c r="AL347" s="191">
        <f>R347*T347</f>
        <v>0</v>
      </c>
      <c r="AM347" s="191">
        <f t="shared" si="433"/>
        <v>0</v>
      </c>
      <c r="AN347" s="191">
        <f t="shared" si="433"/>
        <v>0</v>
      </c>
      <c r="AO347" s="193">
        <f>Z347*S347</f>
        <v>0</v>
      </c>
      <c r="AP347" s="193">
        <f>Z347*T347</f>
        <v>0</v>
      </c>
      <c r="AQ347" s="193">
        <f>AA347</f>
        <v>2185</v>
      </c>
      <c r="AR347" s="193">
        <f>W347*S347</f>
        <v>0</v>
      </c>
      <c r="AS347" s="193">
        <f>W347*T347</f>
        <v>0</v>
      </c>
      <c r="AT347" s="197">
        <f t="shared" si="394"/>
        <v>5815</v>
      </c>
      <c r="AU347" s="197">
        <f t="shared" si="394"/>
        <v>0</v>
      </c>
      <c r="AV347" s="191"/>
      <c r="AW347" s="236">
        <f>R347*S347</f>
        <v>5815</v>
      </c>
      <c r="AX347" s="236"/>
    </row>
    <row r="348" spans="2:53" s="69" customFormat="1" ht="31.5">
      <c r="B348" s="660"/>
      <c r="C348" s="168" t="s">
        <v>1662</v>
      </c>
      <c r="D348" s="195"/>
      <c r="E348" s="181"/>
      <c r="F348" s="181"/>
      <c r="G348" s="171">
        <f>SUM(G345:G347)</f>
        <v>5815</v>
      </c>
      <c r="H348" s="682"/>
      <c r="I348" s="181"/>
      <c r="J348" s="682"/>
      <c r="K348" s="181"/>
      <c r="L348" s="181"/>
      <c r="M348" s="682"/>
      <c r="N348" s="181"/>
      <c r="O348" s="682"/>
      <c r="P348" s="181"/>
      <c r="Q348" s="181"/>
      <c r="R348" s="171">
        <f>SUM(R345:R347)</f>
        <v>5815</v>
      </c>
      <c r="S348" s="171">
        <f>SUM(S345:S347)</f>
        <v>1</v>
      </c>
      <c r="T348" s="171">
        <f>SUM(T345:T347)</f>
        <v>0</v>
      </c>
      <c r="U348" s="171"/>
      <c r="V348" s="693"/>
      <c r="W348" s="171"/>
      <c r="X348" s="693"/>
      <c r="Y348" s="693"/>
      <c r="Z348" s="171">
        <f t="shared" ref="Z348:AV348" si="434">SUM(Z345:Z347)</f>
        <v>0</v>
      </c>
      <c r="AA348" s="171">
        <f>SUM(AA345:AA347)</f>
        <v>2185</v>
      </c>
      <c r="AB348" s="171">
        <f>SUM(AB345:AB347)</f>
        <v>8000</v>
      </c>
      <c r="AC348" s="171">
        <f>SUM(AC345:AC347)</f>
        <v>12000</v>
      </c>
      <c r="AD348" s="171">
        <f t="shared" si="434"/>
        <v>20000</v>
      </c>
      <c r="AE348" s="171">
        <f t="shared" si="434"/>
        <v>20000</v>
      </c>
      <c r="AF348" s="171">
        <f t="shared" si="434"/>
        <v>12000</v>
      </c>
      <c r="AG348" s="171">
        <f t="shared" si="434"/>
        <v>8000</v>
      </c>
      <c r="AH348" s="171">
        <f t="shared" si="434"/>
        <v>2185</v>
      </c>
      <c r="AI348" s="171">
        <f t="shared" si="434"/>
        <v>5815</v>
      </c>
      <c r="AJ348" s="171">
        <f t="shared" si="434"/>
        <v>0</v>
      </c>
      <c r="AK348" s="171">
        <f t="shared" si="434"/>
        <v>5815</v>
      </c>
      <c r="AL348" s="171">
        <f t="shared" si="434"/>
        <v>0</v>
      </c>
      <c r="AM348" s="171">
        <f t="shared" si="434"/>
        <v>0</v>
      </c>
      <c r="AN348" s="171">
        <f t="shared" si="434"/>
        <v>0</v>
      </c>
      <c r="AO348" s="171">
        <f t="shared" si="434"/>
        <v>0</v>
      </c>
      <c r="AP348" s="171">
        <f t="shared" si="434"/>
        <v>0</v>
      </c>
      <c r="AQ348" s="171">
        <f t="shared" si="434"/>
        <v>2185</v>
      </c>
      <c r="AR348" s="171">
        <f t="shared" si="434"/>
        <v>0</v>
      </c>
      <c r="AS348" s="171">
        <f t="shared" si="434"/>
        <v>0</v>
      </c>
      <c r="AT348" s="171">
        <f t="shared" si="434"/>
        <v>5815</v>
      </c>
      <c r="AU348" s="171">
        <f t="shared" si="434"/>
        <v>0</v>
      </c>
      <c r="AV348" s="171">
        <f t="shared" si="434"/>
        <v>0</v>
      </c>
      <c r="AW348" s="171">
        <f>SUM(AW345:AW347)</f>
        <v>5815</v>
      </c>
      <c r="AX348" s="171">
        <f>SUM(AX345:AX347)</f>
        <v>0</v>
      </c>
    </row>
    <row r="349" spans="2:53" s="69" customFormat="1" ht="33">
      <c r="B349" s="660"/>
      <c r="C349" s="208" t="s">
        <v>1508</v>
      </c>
      <c r="D349" s="180"/>
      <c r="E349" s="181"/>
      <c r="F349" s="181"/>
      <c r="G349" s="181"/>
      <c r="H349" s="682"/>
      <c r="I349" s="181"/>
      <c r="J349" s="682"/>
      <c r="K349" s="181"/>
      <c r="L349" s="181"/>
      <c r="M349" s="682"/>
      <c r="N349" s="181"/>
      <c r="O349" s="682"/>
      <c r="P349" s="181"/>
      <c r="Q349" s="181"/>
      <c r="R349" s="181"/>
      <c r="S349" s="181"/>
      <c r="T349" s="181"/>
      <c r="U349" s="181"/>
      <c r="V349" s="683"/>
      <c r="W349" s="181"/>
      <c r="X349" s="683"/>
      <c r="Y349" s="683"/>
      <c r="Z349" s="181"/>
      <c r="AA349" s="181"/>
      <c r="AB349" s="181"/>
      <c r="AC349" s="183"/>
      <c r="AD349" s="183"/>
      <c r="AE349" s="183"/>
      <c r="AF349" s="183"/>
      <c r="AG349" s="183"/>
      <c r="AH349" s="183"/>
      <c r="AI349" s="191"/>
      <c r="AJ349" s="191"/>
      <c r="AK349" s="191"/>
      <c r="AL349" s="191"/>
      <c r="AM349" s="191"/>
      <c r="AN349" s="191"/>
      <c r="AO349" s="193"/>
      <c r="AP349" s="193"/>
      <c r="AQ349" s="193"/>
      <c r="AR349" s="193"/>
      <c r="AS349" s="193"/>
      <c r="AT349" s="197"/>
      <c r="AU349" s="197"/>
      <c r="AV349" s="191"/>
      <c r="AW349" s="236"/>
      <c r="AX349" s="236"/>
    </row>
    <row r="350" spans="2:53" s="69" customFormat="1" ht="63">
      <c r="B350" s="660">
        <f>B347+1</f>
        <v>224</v>
      </c>
      <c r="C350" s="185" t="s">
        <v>1050</v>
      </c>
      <c r="D350" s="186" t="s">
        <v>304</v>
      </c>
      <c r="E350" s="660" t="s">
        <v>1038</v>
      </c>
      <c r="F350" s="660">
        <v>9</v>
      </c>
      <c r="G350" s="187">
        <v>5527</v>
      </c>
      <c r="H350" s="688">
        <v>0.1</v>
      </c>
      <c r="I350" s="187">
        <f>G350*H350</f>
        <v>552.70000000000005</v>
      </c>
      <c r="J350" s="692"/>
      <c r="K350" s="194"/>
      <c r="L350" s="194"/>
      <c r="M350" s="692"/>
      <c r="N350" s="194"/>
      <c r="O350" s="692"/>
      <c r="P350" s="194"/>
      <c r="Q350" s="194"/>
      <c r="R350" s="187">
        <f t="shared" ref="R350:R355" si="435">G350+I350+K350+L350+N350+P350+Q350</f>
        <v>6079.7</v>
      </c>
      <c r="S350" s="187">
        <v>1</v>
      </c>
      <c r="T350" s="194"/>
      <c r="U350" s="194"/>
      <c r="V350" s="692"/>
      <c r="W350" s="194"/>
      <c r="X350" s="674">
        <v>41</v>
      </c>
      <c r="Y350" s="688">
        <v>0.3</v>
      </c>
      <c r="Z350" s="187">
        <f t="shared" ref="Z350:Z355" si="436">R350*Y350</f>
        <v>1823.9099999999999</v>
      </c>
      <c r="AA350" s="187">
        <f t="shared" ref="AA350:AA355" si="437">AH350</f>
        <v>96.390000000000327</v>
      </c>
      <c r="AB350" s="187">
        <f t="shared" ref="AB350:AB355" si="438">(R350+Z350)*S350+AA350</f>
        <v>8000</v>
      </c>
      <c r="AC350" s="689">
        <f t="shared" ref="AC350:AC355" si="439">AF350</f>
        <v>5500</v>
      </c>
      <c r="AD350" s="689">
        <f t="shared" ref="AD350:AD355" si="440">AB350+AC350</f>
        <v>13500</v>
      </c>
      <c r="AE350" s="190">
        <f t="shared" ref="AE350:AE355" si="441">13500*S350</f>
        <v>13500</v>
      </c>
      <c r="AF350" s="190">
        <f t="shared" ref="AF350:AF355" si="442">AE350-AB350</f>
        <v>5500</v>
      </c>
      <c r="AG350" s="689">
        <f t="shared" ref="AG350:AG355" si="443">8000*S350</f>
        <v>8000</v>
      </c>
      <c r="AH350" s="190">
        <f t="shared" ref="AH350:AH355" si="444">AG350-(R350+Z350)*S350</f>
        <v>96.390000000000327</v>
      </c>
      <c r="AI350" s="191">
        <f t="shared" ref="AI350:AI355" si="445">G350*S350</f>
        <v>5527</v>
      </c>
      <c r="AJ350" s="191">
        <f t="shared" ref="AJ350:AJ355" si="446">G350*T350</f>
        <v>0</v>
      </c>
      <c r="AK350" s="191">
        <f t="shared" ref="AK350:AK355" si="447">R350*S350</f>
        <v>6079.7</v>
      </c>
      <c r="AL350" s="191">
        <f t="shared" ref="AL350:AL355" si="448">R350*T350</f>
        <v>0</v>
      </c>
      <c r="AM350" s="191">
        <f t="shared" ref="AM350:AN355" si="449">AK350-AI350</f>
        <v>552.69999999999982</v>
      </c>
      <c r="AN350" s="191">
        <f t="shared" si="449"/>
        <v>0</v>
      </c>
      <c r="AO350" s="193">
        <f t="shared" ref="AO350:AO355" si="450">Z350*S350</f>
        <v>1823.9099999999999</v>
      </c>
      <c r="AP350" s="193">
        <f t="shared" ref="AP350:AP355" si="451">Z350*T350</f>
        <v>0</v>
      </c>
      <c r="AQ350" s="193">
        <f t="shared" ref="AQ350:AQ355" si="452">AA350</f>
        <v>96.390000000000327</v>
      </c>
      <c r="AR350" s="193">
        <f t="shared" ref="AR350:AR355" si="453">W350*S350</f>
        <v>0</v>
      </c>
      <c r="AS350" s="193">
        <f t="shared" ref="AS350:AS355" si="454">W350*T350</f>
        <v>0</v>
      </c>
      <c r="AT350" s="197">
        <f t="shared" si="394"/>
        <v>6079.7</v>
      </c>
      <c r="AU350" s="197">
        <f t="shared" si="394"/>
        <v>0</v>
      </c>
      <c r="AV350" s="191"/>
      <c r="AW350" s="236">
        <f t="shared" ref="AW350:AW355" si="455">R350*S350</f>
        <v>6079.7</v>
      </c>
      <c r="AX350" s="236"/>
    </row>
    <row r="351" spans="2:53" s="69" customFormat="1" ht="63">
      <c r="B351" s="660">
        <f>1+B350</f>
        <v>225</v>
      </c>
      <c r="C351" s="185" t="s">
        <v>1035</v>
      </c>
      <c r="D351" s="186" t="s">
        <v>1674</v>
      </c>
      <c r="E351" s="660" t="s">
        <v>1128</v>
      </c>
      <c r="F351" s="660">
        <v>6</v>
      </c>
      <c r="G351" s="187">
        <v>4633</v>
      </c>
      <c r="H351" s="687"/>
      <c r="I351" s="187"/>
      <c r="J351" s="687"/>
      <c r="K351" s="187"/>
      <c r="L351" s="187"/>
      <c r="M351" s="687"/>
      <c r="N351" s="187"/>
      <c r="O351" s="687"/>
      <c r="P351" s="187"/>
      <c r="Q351" s="187"/>
      <c r="R351" s="187">
        <f t="shared" si="435"/>
        <v>4633</v>
      </c>
      <c r="S351" s="187">
        <v>1</v>
      </c>
      <c r="T351" s="194"/>
      <c r="U351" s="194"/>
      <c r="V351" s="692"/>
      <c r="W351" s="194"/>
      <c r="X351" s="674">
        <v>27</v>
      </c>
      <c r="Y351" s="688">
        <v>0.3</v>
      </c>
      <c r="Z351" s="187">
        <f t="shared" si="436"/>
        <v>1389.8999999999999</v>
      </c>
      <c r="AA351" s="187">
        <f t="shared" si="437"/>
        <v>1977.1000000000004</v>
      </c>
      <c r="AB351" s="187">
        <f t="shared" si="438"/>
        <v>8000</v>
      </c>
      <c r="AC351" s="689">
        <f t="shared" si="439"/>
        <v>5500</v>
      </c>
      <c r="AD351" s="689">
        <f>AB351+AC351</f>
        <v>13500</v>
      </c>
      <c r="AE351" s="190">
        <f>13500*S351</f>
        <v>13500</v>
      </c>
      <c r="AF351" s="190">
        <f>AE351-AB351</f>
        <v>5500</v>
      </c>
      <c r="AG351" s="689">
        <f t="shared" si="443"/>
        <v>8000</v>
      </c>
      <c r="AH351" s="190">
        <f t="shared" si="444"/>
        <v>1977.1000000000004</v>
      </c>
      <c r="AI351" s="191">
        <f t="shared" si="445"/>
        <v>4633</v>
      </c>
      <c r="AJ351" s="191">
        <f t="shared" si="446"/>
        <v>0</v>
      </c>
      <c r="AK351" s="191">
        <f t="shared" si="447"/>
        <v>4633</v>
      </c>
      <c r="AL351" s="191">
        <f t="shared" si="448"/>
        <v>0</v>
      </c>
      <c r="AM351" s="191">
        <f t="shared" si="449"/>
        <v>0</v>
      </c>
      <c r="AN351" s="191">
        <f t="shared" si="449"/>
        <v>0</v>
      </c>
      <c r="AO351" s="193">
        <f t="shared" si="450"/>
        <v>1389.8999999999999</v>
      </c>
      <c r="AP351" s="193">
        <f t="shared" si="451"/>
        <v>0</v>
      </c>
      <c r="AQ351" s="193">
        <f t="shared" si="452"/>
        <v>1977.1000000000004</v>
      </c>
      <c r="AR351" s="193">
        <f t="shared" si="453"/>
        <v>0</v>
      </c>
      <c r="AS351" s="193">
        <f t="shared" si="454"/>
        <v>0</v>
      </c>
      <c r="AT351" s="197">
        <f t="shared" si="394"/>
        <v>4633</v>
      </c>
      <c r="AU351" s="197">
        <f t="shared" si="394"/>
        <v>0</v>
      </c>
      <c r="AV351" s="191"/>
      <c r="AW351" s="236">
        <f t="shared" si="455"/>
        <v>4633</v>
      </c>
      <c r="AX351" s="236"/>
    </row>
    <row r="352" spans="2:53" s="69" customFormat="1" ht="63">
      <c r="B352" s="660">
        <f>1+B351</f>
        <v>226</v>
      </c>
      <c r="C352" s="185" t="s">
        <v>1035</v>
      </c>
      <c r="D352" s="186" t="s">
        <v>305</v>
      </c>
      <c r="E352" s="660" t="s">
        <v>1094</v>
      </c>
      <c r="F352" s="660">
        <v>9</v>
      </c>
      <c r="G352" s="187">
        <v>5527</v>
      </c>
      <c r="H352" s="687"/>
      <c r="I352" s="187"/>
      <c r="J352" s="687"/>
      <c r="K352" s="187"/>
      <c r="L352" s="187"/>
      <c r="M352" s="687"/>
      <c r="N352" s="187"/>
      <c r="O352" s="687"/>
      <c r="P352" s="187"/>
      <c r="Q352" s="187"/>
      <c r="R352" s="187">
        <f t="shared" si="435"/>
        <v>5527</v>
      </c>
      <c r="S352" s="187">
        <v>1</v>
      </c>
      <c r="T352" s="187"/>
      <c r="U352" s="194"/>
      <c r="V352" s="692"/>
      <c r="W352" s="194"/>
      <c r="X352" s="674">
        <v>34</v>
      </c>
      <c r="Y352" s="688">
        <v>0.3</v>
      </c>
      <c r="Z352" s="187">
        <f t="shared" si="436"/>
        <v>1658.1</v>
      </c>
      <c r="AA352" s="187">
        <f t="shared" si="437"/>
        <v>814.89999999999964</v>
      </c>
      <c r="AB352" s="187">
        <f t="shared" si="438"/>
        <v>8000</v>
      </c>
      <c r="AC352" s="689">
        <f t="shared" si="439"/>
        <v>5500</v>
      </c>
      <c r="AD352" s="689">
        <f>AB352+AC352</f>
        <v>13500</v>
      </c>
      <c r="AE352" s="190">
        <f>13500*S352</f>
        <v>13500</v>
      </c>
      <c r="AF352" s="190">
        <f>AE352-AB352</f>
        <v>5500</v>
      </c>
      <c r="AG352" s="689">
        <f t="shared" si="443"/>
        <v>8000</v>
      </c>
      <c r="AH352" s="190">
        <f t="shared" si="444"/>
        <v>814.89999999999964</v>
      </c>
      <c r="AI352" s="191">
        <f t="shared" si="445"/>
        <v>5527</v>
      </c>
      <c r="AJ352" s="191">
        <f t="shared" si="446"/>
        <v>0</v>
      </c>
      <c r="AK352" s="191">
        <f t="shared" si="447"/>
        <v>5527</v>
      </c>
      <c r="AL352" s="191">
        <f t="shared" si="448"/>
        <v>0</v>
      </c>
      <c r="AM352" s="191">
        <f t="shared" si="449"/>
        <v>0</v>
      </c>
      <c r="AN352" s="191">
        <f t="shared" si="449"/>
        <v>0</v>
      </c>
      <c r="AO352" s="193">
        <f t="shared" si="450"/>
        <v>1658.1</v>
      </c>
      <c r="AP352" s="193">
        <f t="shared" si="451"/>
        <v>0</v>
      </c>
      <c r="AQ352" s="193">
        <f t="shared" si="452"/>
        <v>814.89999999999964</v>
      </c>
      <c r="AR352" s="193">
        <f t="shared" si="453"/>
        <v>0</v>
      </c>
      <c r="AS352" s="193">
        <f t="shared" si="454"/>
        <v>0</v>
      </c>
      <c r="AT352" s="197">
        <f t="shared" si="394"/>
        <v>5527</v>
      </c>
      <c r="AU352" s="197">
        <f t="shared" si="394"/>
        <v>0</v>
      </c>
      <c r="AV352" s="191"/>
      <c r="AW352" s="236">
        <f t="shared" si="455"/>
        <v>5527</v>
      </c>
      <c r="AX352" s="236"/>
    </row>
    <row r="353" spans="2:50" s="69" customFormat="1" ht="63">
      <c r="B353" s="660">
        <f>1+B352</f>
        <v>227</v>
      </c>
      <c r="C353" s="185" t="s">
        <v>1035</v>
      </c>
      <c r="D353" s="186" t="s">
        <v>1674</v>
      </c>
      <c r="E353" s="660" t="s">
        <v>1036</v>
      </c>
      <c r="F353" s="660">
        <v>6</v>
      </c>
      <c r="G353" s="187">
        <v>4633</v>
      </c>
      <c r="H353" s="687"/>
      <c r="I353" s="187"/>
      <c r="J353" s="687"/>
      <c r="K353" s="187"/>
      <c r="L353" s="187"/>
      <c r="M353" s="687"/>
      <c r="N353" s="187"/>
      <c r="O353" s="687"/>
      <c r="P353" s="187"/>
      <c r="Q353" s="187"/>
      <c r="R353" s="187">
        <f t="shared" si="435"/>
        <v>4633</v>
      </c>
      <c r="S353" s="187">
        <v>1</v>
      </c>
      <c r="T353" s="194"/>
      <c r="U353" s="194"/>
      <c r="V353" s="692"/>
      <c r="W353" s="194"/>
      <c r="X353" s="674">
        <v>4</v>
      </c>
      <c r="Y353" s="688">
        <v>0.1</v>
      </c>
      <c r="Z353" s="187">
        <f t="shared" si="436"/>
        <v>463.3</v>
      </c>
      <c r="AA353" s="187">
        <f t="shared" si="437"/>
        <v>2903.7</v>
      </c>
      <c r="AB353" s="187">
        <f t="shared" si="438"/>
        <v>8000</v>
      </c>
      <c r="AC353" s="689">
        <f t="shared" si="439"/>
        <v>5500</v>
      </c>
      <c r="AD353" s="689">
        <f t="shared" si="440"/>
        <v>13500</v>
      </c>
      <c r="AE353" s="190">
        <f t="shared" si="441"/>
        <v>13500</v>
      </c>
      <c r="AF353" s="190">
        <f t="shared" si="442"/>
        <v>5500</v>
      </c>
      <c r="AG353" s="689">
        <f t="shared" si="443"/>
        <v>8000</v>
      </c>
      <c r="AH353" s="190">
        <f t="shared" si="444"/>
        <v>2903.7</v>
      </c>
      <c r="AI353" s="191">
        <f t="shared" si="445"/>
        <v>4633</v>
      </c>
      <c r="AJ353" s="191">
        <f t="shared" si="446"/>
        <v>0</v>
      </c>
      <c r="AK353" s="191">
        <f t="shared" si="447"/>
        <v>4633</v>
      </c>
      <c r="AL353" s="191">
        <f t="shared" si="448"/>
        <v>0</v>
      </c>
      <c r="AM353" s="191">
        <f t="shared" si="449"/>
        <v>0</v>
      </c>
      <c r="AN353" s="191">
        <f t="shared" si="449"/>
        <v>0</v>
      </c>
      <c r="AO353" s="193">
        <f t="shared" si="450"/>
        <v>463.3</v>
      </c>
      <c r="AP353" s="193">
        <f t="shared" si="451"/>
        <v>0</v>
      </c>
      <c r="AQ353" s="193">
        <f t="shared" si="452"/>
        <v>2903.7</v>
      </c>
      <c r="AR353" s="193">
        <f t="shared" si="453"/>
        <v>0</v>
      </c>
      <c r="AS353" s="193">
        <f t="shared" si="454"/>
        <v>0</v>
      </c>
      <c r="AT353" s="197">
        <f t="shared" si="394"/>
        <v>4633</v>
      </c>
      <c r="AU353" s="197">
        <f t="shared" si="394"/>
        <v>0</v>
      </c>
      <c r="AV353" s="191"/>
      <c r="AW353" s="236">
        <f t="shared" si="455"/>
        <v>4633</v>
      </c>
      <c r="AX353" s="236"/>
    </row>
    <row r="354" spans="2:50" s="69" customFormat="1" ht="63">
      <c r="B354" s="660">
        <f>1+B353</f>
        <v>228</v>
      </c>
      <c r="C354" s="185" t="s">
        <v>1035</v>
      </c>
      <c r="D354" s="186" t="s">
        <v>1723</v>
      </c>
      <c r="E354" s="660" t="s">
        <v>1129</v>
      </c>
      <c r="F354" s="660">
        <v>9</v>
      </c>
      <c r="G354" s="187">
        <v>5527</v>
      </c>
      <c r="H354" s="687"/>
      <c r="I354" s="187"/>
      <c r="J354" s="687"/>
      <c r="K354" s="187"/>
      <c r="L354" s="187"/>
      <c r="M354" s="687"/>
      <c r="N354" s="187"/>
      <c r="O354" s="687"/>
      <c r="P354" s="187"/>
      <c r="Q354" s="187"/>
      <c r="R354" s="187">
        <f t="shared" si="435"/>
        <v>5527</v>
      </c>
      <c r="S354" s="187">
        <v>1</v>
      </c>
      <c r="T354" s="187"/>
      <c r="U354" s="187"/>
      <c r="V354" s="687"/>
      <c r="W354" s="187"/>
      <c r="X354" s="674">
        <v>37</v>
      </c>
      <c r="Y354" s="688">
        <v>0.3</v>
      </c>
      <c r="Z354" s="187">
        <f t="shared" si="436"/>
        <v>1658.1</v>
      </c>
      <c r="AA354" s="187">
        <f t="shared" si="437"/>
        <v>814.89999999999964</v>
      </c>
      <c r="AB354" s="187">
        <f t="shared" si="438"/>
        <v>8000</v>
      </c>
      <c r="AC354" s="689">
        <f t="shared" si="439"/>
        <v>5500</v>
      </c>
      <c r="AD354" s="689">
        <f t="shared" si="440"/>
        <v>13500</v>
      </c>
      <c r="AE354" s="190">
        <f t="shared" si="441"/>
        <v>13500</v>
      </c>
      <c r="AF354" s="190">
        <f t="shared" si="442"/>
        <v>5500</v>
      </c>
      <c r="AG354" s="689">
        <f t="shared" si="443"/>
        <v>8000</v>
      </c>
      <c r="AH354" s="190">
        <f t="shared" si="444"/>
        <v>814.89999999999964</v>
      </c>
      <c r="AI354" s="191">
        <f t="shared" si="445"/>
        <v>5527</v>
      </c>
      <c r="AJ354" s="191">
        <f t="shared" si="446"/>
        <v>0</v>
      </c>
      <c r="AK354" s="191">
        <f t="shared" si="447"/>
        <v>5527</v>
      </c>
      <c r="AL354" s="191">
        <f t="shared" si="448"/>
        <v>0</v>
      </c>
      <c r="AM354" s="191">
        <f t="shared" si="449"/>
        <v>0</v>
      </c>
      <c r="AN354" s="191">
        <f t="shared" si="449"/>
        <v>0</v>
      </c>
      <c r="AO354" s="193">
        <f t="shared" si="450"/>
        <v>1658.1</v>
      </c>
      <c r="AP354" s="193">
        <f t="shared" si="451"/>
        <v>0</v>
      </c>
      <c r="AQ354" s="193">
        <f t="shared" si="452"/>
        <v>814.89999999999964</v>
      </c>
      <c r="AR354" s="193">
        <f t="shared" si="453"/>
        <v>0</v>
      </c>
      <c r="AS354" s="193">
        <f t="shared" si="454"/>
        <v>0</v>
      </c>
      <c r="AT354" s="197">
        <f t="shared" si="394"/>
        <v>5527</v>
      </c>
      <c r="AU354" s="197">
        <f t="shared" si="394"/>
        <v>0</v>
      </c>
      <c r="AV354" s="191"/>
      <c r="AW354" s="236">
        <f t="shared" si="455"/>
        <v>5527</v>
      </c>
      <c r="AX354" s="236"/>
    </row>
    <row r="355" spans="2:50" s="69" customFormat="1" ht="63">
      <c r="B355" s="660">
        <f>1+B354</f>
        <v>229</v>
      </c>
      <c r="C355" s="185" t="s">
        <v>1035</v>
      </c>
      <c r="D355" s="186" t="s">
        <v>1041</v>
      </c>
      <c r="E355" s="660" t="s">
        <v>1130</v>
      </c>
      <c r="F355" s="660">
        <v>9</v>
      </c>
      <c r="G355" s="187">
        <v>5527</v>
      </c>
      <c r="H355" s="687"/>
      <c r="I355" s="187"/>
      <c r="J355" s="687"/>
      <c r="K355" s="187"/>
      <c r="L355" s="187"/>
      <c r="M355" s="687"/>
      <c r="N355" s="187"/>
      <c r="O355" s="687"/>
      <c r="P355" s="194"/>
      <c r="Q355" s="194"/>
      <c r="R355" s="187">
        <f t="shared" si="435"/>
        <v>5527</v>
      </c>
      <c r="S355" s="187">
        <v>1</v>
      </c>
      <c r="T355" s="187"/>
      <c r="U355" s="194"/>
      <c r="V355" s="692"/>
      <c r="W355" s="194"/>
      <c r="X355" s="674">
        <v>37</v>
      </c>
      <c r="Y355" s="688">
        <v>0.3</v>
      </c>
      <c r="Z355" s="187">
        <f t="shared" si="436"/>
        <v>1658.1</v>
      </c>
      <c r="AA355" s="187">
        <f t="shared" si="437"/>
        <v>814.89999999999964</v>
      </c>
      <c r="AB355" s="187">
        <f t="shared" si="438"/>
        <v>8000</v>
      </c>
      <c r="AC355" s="689">
        <f t="shared" si="439"/>
        <v>5500</v>
      </c>
      <c r="AD355" s="689">
        <f t="shared" si="440"/>
        <v>13500</v>
      </c>
      <c r="AE355" s="190">
        <f t="shared" si="441"/>
        <v>13500</v>
      </c>
      <c r="AF355" s="190">
        <f t="shared" si="442"/>
        <v>5500</v>
      </c>
      <c r="AG355" s="689">
        <f t="shared" si="443"/>
        <v>8000</v>
      </c>
      <c r="AH355" s="190">
        <f t="shared" si="444"/>
        <v>814.89999999999964</v>
      </c>
      <c r="AI355" s="191">
        <f t="shared" si="445"/>
        <v>5527</v>
      </c>
      <c r="AJ355" s="191">
        <f t="shared" si="446"/>
        <v>0</v>
      </c>
      <c r="AK355" s="191">
        <f t="shared" si="447"/>
        <v>5527</v>
      </c>
      <c r="AL355" s="191">
        <f t="shared" si="448"/>
        <v>0</v>
      </c>
      <c r="AM355" s="191">
        <f t="shared" si="449"/>
        <v>0</v>
      </c>
      <c r="AN355" s="191">
        <f t="shared" si="449"/>
        <v>0</v>
      </c>
      <c r="AO355" s="193">
        <f t="shared" si="450"/>
        <v>1658.1</v>
      </c>
      <c r="AP355" s="193">
        <f t="shared" si="451"/>
        <v>0</v>
      </c>
      <c r="AQ355" s="193">
        <f t="shared" si="452"/>
        <v>814.89999999999964</v>
      </c>
      <c r="AR355" s="193">
        <f t="shared" si="453"/>
        <v>0</v>
      </c>
      <c r="AS355" s="193">
        <f t="shared" si="454"/>
        <v>0</v>
      </c>
      <c r="AT355" s="197">
        <f t="shared" si="394"/>
        <v>5527</v>
      </c>
      <c r="AU355" s="197">
        <f t="shared" si="394"/>
        <v>0</v>
      </c>
      <c r="AV355" s="191"/>
      <c r="AW355" s="236">
        <f t="shared" si="455"/>
        <v>5527</v>
      </c>
      <c r="AX355" s="236"/>
    </row>
    <row r="356" spans="2:50" s="69" customFormat="1" ht="31.5">
      <c r="B356" s="660"/>
      <c r="C356" s="168" t="s">
        <v>1662</v>
      </c>
      <c r="D356" s="195"/>
      <c r="E356" s="181"/>
      <c r="F356" s="181"/>
      <c r="G356" s="171">
        <f>SUM(G350:G355)</f>
        <v>31374</v>
      </c>
      <c r="H356" s="703"/>
      <c r="I356" s="171">
        <f>SUM(I350:I355)</f>
        <v>552.70000000000005</v>
      </c>
      <c r="J356" s="682"/>
      <c r="K356" s="181"/>
      <c r="L356" s="181"/>
      <c r="M356" s="682"/>
      <c r="N356" s="181"/>
      <c r="O356" s="682"/>
      <c r="P356" s="181"/>
      <c r="Q356" s="181"/>
      <c r="R356" s="171">
        <f>SUM(R350:R355)</f>
        <v>31926.7</v>
      </c>
      <c r="S356" s="171">
        <f>SUM(S350:S355)</f>
        <v>6</v>
      </c>
      <c r="T356" s="171">
        <f>SUM(T350:T355)</f>
        <v>0</v>
      </c>
      <c r="U356" s="171"/>
      <c r="V356" s="693"/>
      <c r="W356" s="171"/>
      <c r="X356" s="693"/>
      <c r="Y356" s="693"/>
      <c r="Z356" s="171">
        <f>SUM(Z350:Z355)</f>
        <v>8651.41</v>
      </c>
      <c r="AA356" s="171">
        <f>SUM(AA350:AA355)</f>
        <v>7421.8899999999994</v>
      </c>
      <c r="AB356" s="171">
        <f>SUM(AB350:AB355)</f>
        <v>48000</v>
      </c>
      <c r="AC356" s="171">
        <f>SUM(AC350:AC355)</f>
        <v>33000</v>
      </c>
      <c r="AD356" s="171">
        <f>SUM(AD350:AD355)</f>
        <v>81000</v>
      </c>
      <c r="AE356" s="171">
        <f t="shared" ref="AE356:AV356" si="456">SUM(AE350:AE355)</f>
        <v>81000</v>
      </c>
      <c r="AF356" s="171">
        <f t="shared" si="456"/>
        <v>33000</v>
      </c>
      <c r="AG356" s="171">
        <f t="shared" si="456"/>
        <v>48000</v>
      </c>
      <c r="AH356" s="171">
        <f t="shared" si="456"/>
        <v>7421.8899999999994</v>
      </c>
      <c r="AI356" s="171">
        <f t="shared" si="456"/>
        <v>31374</v>
      </c>
      <c r="AJ356" s="171">
        <f t="shared" si="456"/>
        <v>0</v>
      </c>
      <c r="AK356" s="171">
        <f t="shared" si="456"/>
        <v>31926.7</v>
      </c>
      <c r="AL356" s="171">
        <f t="shared" si="456"/>
        <v>0</v>
      </c>
      <c r="AM356" s="171">
        <f t="shared" si="456"/>
        <v>552.69999999999982</v>
      </c>
      <c r="AN356" s="171">
        <f t="shared" si="456"/>
        <v>0</v>
      </c>
      <c r="AO356" s="171">
        <f t="shared" si="456"/>
        <v>8651.41</v>
      </c>
      <c r="AP356" s="171">
        <f t="shared" si="456"/>
        <v>0</v>
      </c>
      <c r="AQ356" s="171">
        <f t="shared" si="456"/>
        <v>7421.8899999999994</v>
      </c>
      <c r="AR356" s="171">
        <f t="shared" si="456"/>
        <v>0</v>
      </c>
      <c r="AS356" s="171">
        <f t="shared" si="456"/>
        <v>0</v>
      </c>
      <c r="AT356" s="171">
        <f t="shared" si="456"/>
        <v>31926.7</v>
      </c>
      <c r="AU356" s="171">
        <f t="shared" si="456"/>
        <v>0</v>
      </c>
      <c r="AV356" s="171">
        <f t="shared" si="456"/>
        <v>0</v>
      </c>
      <c r="AW356" s="171">
        <f>SUM(AW350:AW355)</f>
        <v>31926.7</v>
      </c>
      <c r="AX356" s="171">
        <f>SUM(AX350:AX355)</f>
        <v>0</v>
      </c>
    </row>
    <row r="357" spans="2:50" s="69" customFormat="1" ht="33">
      <c r="B357" s="660"/>
      <c r="C357" s="208" t="s">
        <v>1774</v>
      </c>
      <c r="D357" s="195"/>
      <c r="E357" s="181"/>
      <c r="F357" s="181"/>
      <c r="G357" s="171"/>
      <c r="H357" s="703"/>
      <c r="I357" s="171"/>
      <c r="J357" s="682"/>
      <c r="K357" s="181"/>
      <c r="L357" s="181"/>
      <c r="M357" s="682"/>
      <c r="N357" s="181"/>
      <c r="O357" s="682"/>
      <c r="P357" s="181"/>
      <c r="Q357" s="181"/>
      <c r="R357" s="171"/>
      <c r="S357" s="171"/>
      <c r="T357" s="171"/>
      <c r="U357" s="171"/>
      <c r="V357" s="693"/>
      <c r="W357" s="171"/>
      <c r="X357" s="693"/>
      <c r="Y357" s="693"/>
      <c r="Z357" s="171"/>
      <c r="AA357" s="171"/>
      <c r="AB357" s="171"/>
      <c r="AC357" s="196"/>
      <c r="AD357" s="196"/>
      <c r="AE357" s="196"/>
      <c r="AF357" s="196"/>
      <c r="AG357" s="196"/>
      <c r="AH357" s="196"/>
      <c r="AI357" s="191"/>
      <c r="AJ357" s="191"/>
      <c r="AK357" s="191"/>
      <c r="AL357" s="191"/>
      <c r="AM357" s="191"/>
      <c r="AN357" s="191"/>
      <c r="AO357" s="193"/>
      <c r="AP357" s="193"/>
      <c r="AQ357" s="193"/>
      <c r="AR357" s="193"/>
      <c r="AS357" s="193"/>
      <c r="AT357" s="197"/>
      <c r="AU357" s="197"/>
      <c r="AV357" s="191"/>
      <c r="AW357" s="236"/>
      <c r="AX357" s="236"/>
    </row>
    <row r="358" spans="2:50" s="69" customFormat="1" ht="63">
      <c r="B358" s="660">
        <f>B355+1</f>
        <v>230</v>
      </c>
      <c r="C358" s="185" t="s">
        <v>1160</v>
      </c>
      <c r="D358" s="186"/>
      <c r="E358" s="660" t="s">
        <v>1162</v>
      </c>
      <c r="F358" s="660">
        <v>3</v>
      </c>
      <c r="G358" s="187">
        <v>3770</v>
      </c>
      <c r="H358" s="687"/>
      <c r="I358" s="187"/>
      <c r="J358" s="692"/>
      <c r="K358" s="194"/>
      <c r="L358" s="194"/>
      <c r="M358" s="692"/>
      <c r="N358" s="194"/>
      <c r="O358" s="692"/>
      <c r="P358" s="194"/>
      <c r="Q358" s="194"/>
      <c r="R358" s="187">
        <f>G358+I358+K358+L358+N358+P358+Q358</f>
        <v>3770</v>
      </c>
      <c r="S358" s="187">
        <v>1</v>
      </c>
      <c r="T358" s="194"/>
      <c r="U358" s="194"/>
      <c r="V358" s="688">
        <v>0.1</v>
      </c>
      <c r="W358" s="187">
        <f>R358*V358</f>
        <v>377</v>
      </c>
      <c r="X358" s="674"/>
      <c r="Y358" s="688"/>
      <c r="Z358" s="187"/>
      <c r="AA358" s="187">
        <f>AH358</f>
        <v>4230</v>
      </c>
      <c r="AB358" s="187">
        <f>(R358+Z358+U358+W358)*S358+AA358</f>
        <v>8377</v>
      </c>
      <c r="AC358" s="689">
        <f>AF358</f>
        <v>0</v>
      </c>
      <c r="AD358" s="689">
        <f>AB358+AC358</f>
        <v>8377</v>
      </c>
      <c r="AE358" s="190">
        <f>AB358</f>
        <v>8377</v>
      </c>
      <c r="AF358" s="190">
        <f>AE358-AB358</f>
        <v>0</v>
      </c>
      <c r="AG358" s="689">
        <f>8000*S358</f>
        <v>8000</v>
      </c>
      <c r="AH358" s="190">
        <f>AG358-(R358*S358)</f>
        <v>4230</v>
      </c>
      <c r="AI358" s="191">
        <f>G358*S358</f>
        <v>3770</v>
      </c>
      <c r="AJ358" s="191">
        <f>G358*T358</f>
        <v>0</v>
      </c>
      <c r="AK358" s="191">
        <f>R358*S358</f>
        <v>3770</v>
      </c>
      <c r="AL358" s="191">
        <f>R358*T358</f>
        <v>0</v>
      </c>
      <c r="AM358" s="191">
        <f t="shared" ref="AM358:AN362" si="457">AK358-AI358</f>
        <v>0</v>
      </c>
      <c r="AN358" s="191">
        <f t="shared" si="457"/>
        <v>0</v>
      </c>
      <c r="AO358" s="193">
        <f>Z358*S358</f>
        <v>0</v>
      </c>
      <c r="AP358" s="193">
        <f>Z358*T358</f>
        <v>0</v>
      </c>
      <c r="AQ358" s="193">
        <f>AA358</f>
        <v>4230</v>
      </c>
      <c r="AR358" s="193">
        <f>W358*S358</f>
        <v>377</v>
      </c>
      <c r="AS358" s="193">
        <f>W358*T358</f>
        <v>0</v>
      </c>
      <c r="AT358" s="197">
        <f t="shared" si="394"/>
        <v>3770</v>
      </c>
      <c r="AU358" s="197">
        <f t="shared" si="394"/>
        <v>0</v>
      </c>
      <c r="AV358" s="191"/>
      <c r="AW358" s="236">
        <f>R358*S358</f>
        <v>3770</v>
      </c>
      <c r="AX358" s="236"/>
    </row>
    <row r="359" spans="2:50" s="69" customFormat="1" ht="63">
      <c r="B359" s="660">
        <f>1+B358</f>
        <v>231</v>
      </c>
      <c r="C359" s="185" t="s">
        <v>1160</v>
      </c>
      <c r="D359" s="186"/>
      <c r="E359" s="660" t="s">
        <v>1163</v>
      </c>
      <c r="F359" s="660">
        <v>3</v>
      </c>
      <c r="G359" s="187">
        <v>3770</v>
      </c>
      <c r="H359" s="687"/>
      <c r="I359" s="187"/>
      <c r="J359" s="687"/>
      <c r="K359" s="187"/>
      <c r="L359" s="187"/>
      <c r="M359" s="687"/>
      <c r="N359" s="187"/>
      <c r="O359" s="687"/>
      <c r="P359" s="187"/>
      <c r="Q359" s="187"/>
      <c r="R359" s="187">
        <f>G359+I359+K359+L359+N359+P359+Q359</f>
        <v>3770</v>
      </c>
      <c r="S359" s="187">
        <v>1</v>
      </c>
      <c r="T359" s="194"/>
      <c r="U359" s="194"/>
      <c r="V359" s="688">
        <v>0.1</v>
      </c>
      <c r="W359" s="187">
        <f>R359*V359</f>
        <v>377</v>
      </c>
      <c r="X359" s="674"/>
      <c r="Y359" s="688"/>
      <c r="Z359" s="187"/>
      <c r="AA359" s="187">
        <f>AH359</f>
        <v>4230</v>
      </c>
      <c r="AB359" s="187">
        <f>(R359+Z359+U359+W359)*S359+AA359</f>
        <v>8377</v>
      </c>
      <c r="AC359" s="689">
        <f>AF359</f>
        <v>0</v>
      </c>
      <c r="AD359" s="689">
        <f>AB359+AC359</f>
        <v>8377</v>
      </c>
      <c r="AE359" s="190">
        <f>AB359</f>
        <v>8377</v>
      </c>
      <c r="AF359" s="190">
        <f>AE359-AB359</f>
        <v>0</v>
      </c>
      <c r="AG359" s="689">
        <f>8000*S359</f>
        <v>8000</v>
      </c>
      <c r="AH359" s="190">
        <f>AG359-(R359*S359)</f>
        <v>4230</v>
      </c>
      <c r="AI359" s="191">
        <f>G359*S359</f>
        <v>3770</v>
      </c>
      <c r="AJ359" s="191">
        <f>G359*T359</f>
        <v>0</v>
      </c>
      <c r="AK359" s="191">
        <f>R359*S359</f>
        <v>3770</v>
      </c>
      <c r="AL359" s="191">
        <f>R359*T359</f>
        <v>0</v>
      </c>
      <c r="AM359" s="191">
        <f t="shared" si="457"/>
        <v>0</v>
      </c>
      <c r="AN359" s="191">
        <f t="shared" si="457"/>
        <v>0</v>
      </c>
      <c r="AO359" s="193">
        <f>Z359*S359</f>
        <v>0</v>
      </c>
      <c r="AP359" s="193">
        <f>Z359*T359</f>
        <v>0</v>
      </c>
      <c r="AQ359" s="193">
        <f>AA359</f>
        <v>4230</v>
      </c>
      <c r="AR359" s="193">
        <f>W359*S359</f>
        <v>377</v>
      </c>
      <c r="AS359" s="193">
        <f>W359*T359</f>
        <v>0</v>
      </c>
      <c r="AT359" s="197">
        <f t="shared" si="394"/>
        <v>3770</v>
      </c>
      <c r="AU359" s="197">
        <f t="shared" si="394"/>
        <v>0</v>
      </c>
      <c r="AV359" s="191"/>
      <c r="AW359" s="236">
        <f>R359*S359</f>
        <v>3770</v>
      </c>
      <c r="AX359" s="236"/>
    </row>
    <row r="360" spans="2:50" s="69" customFormat="1" ht="63">
      <c r="B360" s="660">
        <f>1+B359</f>
        <v>232</v>
      </c>
      <c r="C360" s="185" t="s">
        <v>1160</v>
      </c>
      <c r="D360" s="186"/>
      <c r="E360" s="660" t="s">
        <v>1164</v>
      </c>
      <c r="F360" s="660">
        <v>3</v>
      </c>
      <c r="G360" s="187">
        <v>3770</v>
      </c>
      <c r="H360" s="687"/>
      <c r="I360" s="187"/>
      <c r="J360" s="687"/>
      <c r="K360" s="187"/>
      <c r="L360" s="187"/>
      <c r="M360" s="687"/>
      <c r="N360" s="187"/>
      <c r="O360" s="687"/>
      <c r="P360" s="187"/>
      <c r="Q360" s="187"/>
      <c r="R360" s="187">
        <f>G360+I360+K360+L360+N360+P360+Q360</f>
        <v>3770</v>
      </c>
      <c r="S360" s="187">
        <v>1</v>
      </c>
      <c r="T360" s="187"/>
      <c r="U360" s="187"/>
      <c r="V360" s="688">
        <v>0.1</v>
      </c>
      <c r="W360" s="187">
        <f>R360*V360</f>
        <v>377</v>
      </c>
      <c r="X360" s="674"/>
      <c r="Y360" s="688"/>
      <c r="Z360" s="187"/>
      <c r="AA360" s="187">
        <f>AH360</f>
        <v>4230</v>
      </c>
      <c r="AB360" s="187">
        <f>(R360+Z360+U360+W360)*S360+AA360</f>
        <v>8377</v>
      </c>
      <c r="AC360" s="689">
        <f>AF360</f>
        <v>0</v>
      </c>
      <c r="AD360" s="689">
        <f>AB360+AC360</f>
        <v>8377</v>
      </c>
      <c r="AE360" s="190">
        <f>AB360</f>
        <v>8377</v>
      </c>
      <c r="AF360" s="190">
        <f>AE360-AB360</f>
        <v>0</v>
      </c>
      <c r="AG360" s="689">
        <f>8000*S360</f>
        <v>8000</v>
      </c>
      <c r="AH360" s="190">
        <f>AG360-(R360*S360)</f>
        <v>4230</v>
      </c>
      <c r="AI360" s="191">
        <f>G360*S360</f>
        <v>3770</v>
      </c>
      <c r="AJ360" s="191">
        <f>G360*T360</f>
        <v>0</v>
      </c>
      <c r="AK360" s="191">
        <f>R360*S360</f>
        <v>3770</v>
      </c>
      <c r="AL360" s="191">
        <f>R360*T360</f>
        <v>0</v>
      </c>
      <c r="AM360" s="191">
        <f t="shared" si="457"/>
        <v>0</v>
      </c>
      <c r="AN360" s="191">
        <f t="shared" si="457"/>
        <v>0</v>
      </c>
      <c r="AO360" s="193">
        <f>Z360*S360</f>
        <v>0</v>
      </c>
      <c r="AP360" s="193">
        <f>Z360*T360</f>
        <v>0</v>
      </c>
      <c r="AQ360" s="193">
        <f>AA360</f>
        <v>4230</v>
      </c>
      <c r="AR360" s="193">
        <f>W360*S360</f>
        <v>377</v>
      </c>
      <c r="AS360" s="193">
        <f>W360*T360</f>
        <v>0</v>
      </c>
      <c r="AT360" s="197">
        <f t="shared" si="394"/>
        <v>3770</v>
      </c>
      <c r="AU360" s="197">
        <f t="shared" si="394"/>
        <v>0</v>
      </c>
      <c r="AV360" s="191"/>
      <c r="AW360" s="236">
        <f>R360*S360</f>
        <v>3770</v>
      </c>
      <c r="AX360" s="236"/>
    </row>
    <row r="361" spans="2:50" s="69" customFormat="1" ht="63">
      <c r="B361" s="660">
        <f>1+B360</f>
        <v>233</v>
      </c>
      <c r="C361" s="185" t="s">
        <v>1160</v>
      </c>
      <c r="D361" s="186"/>
      <c r="E361" s="660" t="s">
        <v>1165</v>
      </c>
      <c r="F361" s="660">
        <v>3</v>
      </c>
      <c r="G361" s="187">
        <v>3770</v>
      </c>
      <c r="H361" s="687"/>
      <c r="I361" s="187"/>
      <c r="J361" s="687"/>
      <c r="K361" s="187"/>
      <c r="L361" s="187"/>
      <c r="M361" s="687"/>
      <c r="N361" s="187"/>
      <c r="O361" s="687"/>
      <c r="P361" s="187"/>
      <c r="Q361" s="187"/>
      <c r="R361" s="187">
        <f>G361+I361+K361+L361+N361+P361+Q361</f>
        <v>3770</v>
      </c>
      <c r="S361" s="187">
        <v>1</v>
      </c>
      <c r="T361" s="187"/>
      <c r="U361" s="187"/>
      <c r="V361" s="688">
        <v>0.1</v>
      </c>
      <c r="W361" s="187">
        <f>R361*V361</f>
        <v>377</v>
      </c>
      <c r="X361" s="674"/>
      <c r="Y361" s="688"/>
      <c r="Z361" s="187"/>
      <c r="AA361" s="187">
        <f>AH361</f>
        <v>4230</v>
      </c>
      <c r="AB361" s="187">
        <f>(R361+Z361+U361+W361)*S361+AA361</f>
        <v>8377</v>
      </c>
      <c r="AC361" s="689">
        <f>AF361</f>
        <v>0</v>
      </c>
      <c r="AD361" s="689">
        <f>AB361+AC361</f>
        <v>8377</v>
      </c>
      <c r="AE361" s="190">
        <f>AB361</f>
        <v>8377</v>
      </c>
      <c r="AF361" s="190">
        <f>AE361-AB361</f>
        <v>0</v>
      </c>
      <c r="AG361" s="689">
        <f>8000*S361</f>
        <v>8000</v>
      </c>
      <c r="AH361" s="190">
        <f>AG361-(R361*S361)</f>
        <v>4230</v>
      </c>
      <c r="AI361" s="191">
        <f>G361*S361</f>
        <v>3770</v>
      </c>
      <c r="AJ361" s="191">
        <f>G361*T361</f>
        <v>0</v>
      </c>
      <c r="AK361" s="191">
        <f>R361*S361</f>
        <v>3770</v>
      </c>
      <c r="AL361" s="191">
        <f>R361*T361</f>
        <v>0</v>
      </c>
      <c r="AM361" s="191">
        <f t="shared" si="457"/>
        <v>0</v>
      </c>
      <c r="AN361" s="191">
        <f t="shared" si="457"/>
        <v>0</v>
      </c>
      <c r="AO361" s="193">
        <f>Z361*S361</f>
        <v>0</v>
      </c>
      <c r="AP361" s="193">
        <f>Z361*T361</f>
        <v>0</v>
      </c>
      <c r="AQ361" s="193">
        <f>AA361</f>
        <v>4230</v>
      </c>
      <c r="AR361" s="193">
        <f>W361*S361</f>
        <v>377</v>
      </c>
      <c r="AS361" s="193">
        <f>W361*T361</f>
        <v>0</v>
      </c>
      <c r="AT361" s="197">
        <f t="shared" si="394"/>
        <v>3770</v>
      </c>
      <c r="AU361" s="197">
        <f t="shared" si="394"/>
        <v>0</v>
      </c>
      <c r="AV361" s="191"/>
      <c r="AW361" s="236">
        <f>R361*S361</f>
        <v>3770</v>
      </c>
      <c r="AX361" s="236"/>
    </row>
    <row r="362" spans="2:50" s="69" customFormat="1" ht="63">
      <c r="B362" s="660">
        <f>1+B361</f>
        <v>234</v>
      </c>
      <c r="C362" s="185" t="s">
        <v>1160</v>
      </c>
      <c r="D362" s="186"/>
      <c r="E362" s="660" t="s">
        <v>1090</v>
      </c>
      <c r="F362" s="660">
        <v>3</v>
      </c>
      <c r="G362" s="187">
        <v>3770</v>
      </c>
      <c r="H362" s="687"/>
      <c r="I362" s="187"/>
      <c r="J362" s="687"/>
      <c r="K362" s="187"/>
      <c r="L362" s="187"/>
      <c r="M362" s="687"/>
      <c r="N362" s="187"/>
      <c r="O362" s="687"/>
      <c r="P362" s="187"/>
      <c r="Q362" s="187"/>
      <c r="R362" s="187">
        <f>G362+I362+K362+L362+N362+P362+Q362</f>
        <v>3770</v>
      </c>
      <c r="S362" s="187">
        <v>1</v>
      </c>
      <c r="T362" s="187"/>
      <c r="U362" s="187"/>
      <c r="V362" s="688">
        <v>0.1</v>
      </c>
      <c r="W362" s="187">
        <f>R362*V362</f>
        <v>377</v>
      </c>
      <c r="X362" s="674"/>
      <c r="Y362" s="688"/>
      <c r="Z362" s="187"/>
      <c r="AA362" s="187">
        <f>AH362</f>
        <v>4230</v>
      </c>
      <c r="AB362" s="187">
        <f>(R362+Z362+U362+W362)*S362+AA362</f>
        <v>8377</v>
      </c>
      <c r="AC362" s="689">
        <f>AF362</f>
        <v>0</v>
      </c>
      <c r="AD362" s="689">
        <f>AB362+AC362</f>
        <v>8377</v>
      </c>
      <c r="AE362" s="190">
        <f>AB362</f>
        <v>8377</v>
      </c>
      <c r="AF362" s="190">
        <f>AE362-AB362</f>
        <v>0</v>
      </c>
      <c r="AG362" s="689">
        <f>8000*S362</f>
        <v>8000</v>
      </c>
      <c r="AH362" s="190">
        <f>AG362-(R362*S362)</f>
        <v>4230</v>
      </c>
      <c r="AI362" s="191">
        <f>G362*S362</f>
        <v>3770</v>
      </c>
      <c r="AJ362" s="191">
        <f>G362*T362</f>
        <v>0</v>
      </c>
      <c r="AK362" s="191">
        <f>R362*S362</f>
        <v>3770</v>
      </c>
      <c r="AL362" s="191">
        <f>R362*T362</f>
        <v>0</v>
      </c>
      <c r="AM362" s="191">
        <f t="shared" si="457"/>
        <v>0</v>
      </c>
      <c r="AN362" s="191">
        <f t="shared" si="457"/>
        <v>0</v>
      </c>
      <c r="AO362" s="193">
        <f>Z362*S362</f>
        <v>0</v>
      </c>
      <c r="AP362" s="193">
        <f>Z362*T362</f>
        <v>0</v>
      </c>
      <c r="AQ362" s="193">
        <f>AA362</f>
        <v>4230</v>
      </c>
      <c r="AR362" s="193">
        <f>W362*S362</f>
        <v>377</v>
      </c>
      <c r="AS362" s="193">
        <f>W362*T362</f>
        <v>0</v>
      </c>
      <c r="AT362" s="197">
        <f t="shared" si="394"/>
        <v>3770</v>
      </c>
      <c r="AU362" s="197">
        <f t="shared" si="394"/>
        <v>0</v>
      </c>
      <c r="AV362" s="191"/>
      <c r="AW362" s="236">
        <f>R362*S362</f>
        <v>3770</v>
      </c>
      <c r="AX362" s="236"/>
    </row>
    <row r="363" spans="2:50" s="69" customFormat="1" ht="31.5">
      <c r="B363" s="660"/>
      <c r="C363" s="168" t="s">
        <v>1662</v>
      </c>
      <c r="D363" s="195"/>
      <c r="E363" s="181"/>
      <c r="F363" s="181"/>
      <c r="G363" s="171">
        <f>SUM(G358:G362)</f>
        <v>18850</v>
      </c>
      <c r="H363" s="682"/>
      <c r="I363" s="181"/>
      <c r="J363" s="682"/>
      <c r="K363" s="181"/>
      <c r="L363" s="181"/>
      <c r="M363" s="682"/>
      <c r="N363" s="181"/>
      <c r="O363" s="682"/>
      <c r="P363" s="181"/>
      <c r="Q363" s="181"/>
      <c r="R363" s="171">
        <f>SUM(R358:R362)</f>
        <v>18850</v>
      </c>
      <c r="S363" s="171">
        <f>SUM(S358:S362)</f>
        <v>5</v>
      </c>
      <c r="T363" s="171">
        <f>SUM(T358:T362)</f>
        <v>0</v>
      </c>
      <c r="U363" s="171"/>
      <c r="V363" s="693"/>
      <c r="W363" s="171">
        <f>SUM(W358:W362)</f>
        <v>1885</v>
      </c>
      <c r="X363" s="693"/>
      <c r="Y363" s="693"/>
      <c r="Z363" s="171"/>
      <c r="AA363" s="171">
        <f>SUM(AA358:AA362)</f>
        <v>21150</v>
      </c>
      <c r="AB363" s="171">
        <f>SUM(AB358:AB362)</f>
        <v>41885</v>
      </c>
      <c r="AC363" s="171">
        <f>SUM(AC358:AC362)</f>
        <v>0</v>
      </c>
      <c r="AD363" s="171">
        <f>SUM(AD358:AD362)</f>
        <v>41885</v>
      </c>
      <c r="AE363" s="171">
        <f t="shared" ref="AE363:AV363" si="458">SUM(AE358:AE362)</f>
        <v>41885</v>
      </c>
      <c r="AF363" s="171">
        <f t="shared" si="458"/>
        <v>0</v>
      </c>
      <c r="AG363" s="171">
        <f t="shared" si="458"/>
        <v>40000</v>
      </c>
      <c r="AH363" s="171">
        <f t="shared" si="458"/>
        <v>21150</v>
      </c>
      <c r="AI363" s="171">
        <f t="shared" si="458"/>
        <v>18850</v>
      </c>
      <c r="AJ363" s="171">
        <f t="shared" si="458"/>
        <v>0</v>
      </c>
      <c r="AK363" s="171">
        <f t="shared" si="458"/>
        <v>18850</v>
      </c>
      <c r="AL363" s="171">
        <f t="shared" si="458"/>
        <v>0</v>
      </c>
      <c r="AM363" s="171">
        <f t="shared" si="458"/>
        <v>0</v>
      </c>
      <c r="AN363" s="171">
        <f t="shared" si="458"/>
        <v>0</v>
      </c>
      <c r="AO363" s="171">
        <f t="shared" si="458"/>
        <v>0</v>
      </c>
      <c r="AP363" s="171">
        <f t="shared" si="458"/>
        <v>0</v>
      </c>
      <c r="AQ363" s="171">
        <f t="shared" si="458"/>
        <v>21150</v>
      </c>
      <c r="AR363" s="171">
        <f t="shared" si="458"/>
        <v>1885</v>
      </c>
      <c r="AS363" s="171">
        <f t="shared" si="458"/>
        <v>0</v>
      </c>
      <c r="AT363" s="171">
        <f t="shared" si="458"/>
        <v>18850</v>
      </c>
      <c r="AU363" s="171">
        <f t="shared" si="458"/>
        <v>0</v>
      </c>
      <c r="AV363" s="171">
        <f t="shared" si="458"/>
        <v>0</v>
      </c>
      <c r="AW363" s="171">
        <f>SUM(AW358:AW362)</f>
        <v>18850</v>
      </c>
      <c r="AX363" s="171">
        <f>SUM(AX358:AX362)</f>
        <v>0</v>
      </c>
    </row>
    <row r="364" spans="2:50" s="69" customFormat="1" ht="31.5">
      <c r="B364" s="660"/>
      <c r="C364" s="168" t="s">
        <v>1223</v>
      </c>
      <c r="D364" s="195"/>
      <c r="E364" s="181"/>
      <c r="F364" s="181"/>
      <c r="G364" s="171">
        <f>G348+G356+G363</f>
        <v>56039</v>
      </c>
      <c r="H364" s="693"/>
      <c r="I364" s="171">
        <f>I348+I356+I363</f>
        <v>552.70000000000005</v>
      </c>
      <c r="J364" s="693"/>
      <c r="K364" s="171"/>
      <c r="L364" s="171"/>
      <c r="M364" s="693"/>
      <c r="N364" s="171"/>
      <c r="O364" s="693"/>
      <c r="P364" s="171"/>
      <c r="Q364" s="171"/>
      <c r="R364" s="171">
        <f>R348+R356+R363</f>
        <v>56591.7</v>
      </c>
      <c r="S364" s="171">
        <f>S348+S356+S363</f>
        <v>12</v>
      </c>
      <c r="T364" s="171">
        <f>T348+T356+T363</f>
        <v>0</v>
      </c>
      <c r="U364" s="171"/>
      <c r="V364" s="693"/>
      <c r="W364" s="171">
        <f>W348+W356+W363</f>
        <v>1885</v>
      </c>
      <c r="X364" s="693"/>
      <c r="Y364" s="693"/>
      <c r="Z364" s="171"/>
      <c r="AA364" s="171">
        <f>AA348+AA356+AA363</f>
        <v>30756.89</v>
      </c>
      <c r="AB364" s="171">
        <f>AB348+AB356+AB363</f>
        <v>97885</v>
      </c>
      <c r="AC364" s="171">
        <f>AC348+AC356+AC363</f>
        <v>45000</v>
      </c>
      <c r="AD364" s="171">
        <f>AD348+AD356+AD363</f>
        <v>142885</v>
      </c>
      <c r="AE364" s="171">
        <f t="shared" ref="AE364:AX364" si="459">AE348+AE356+AE363</f>
        <v>142885</v>
      </c>
      <c r="AF364" s="171">
        <f t="shared" si="459"/>
        <v>45000</v>
      </c>
      <c r="AG364" s="171">
        <f>AG348+AG356+AG363</f>
        <v>96000</v>
      </c>
      <c r="AH364" s="171">
        <f t="shared" si="459"/>
        <v>30756.89</v>
      </c>
      <c r="AI364" s="171">
        <f t="shared" si="459"/>
        <v>56039</v>
      </c>
      <c r="AJ364" s="171">
        <f t="shared" si="459"/>
        <v>0</v>
      </c>
      <c r="AK364" s="171">
        <f t="shared" si="459"/>
        <v>56591.7</v>
      </c>
      <c r="AL364" s="171">
        <f t="shared" si="459"/>
        <v>0</v>
      </c>
      <c r="AM364" s="171">
        <f t="shared" si="459"/>
        <v>552.69999999999982</v>
      </c>
      <c r="AN364" s="171">
        <f t="shared" si="459"/>
        <v>0</v>
      </c>
      <c r="AO364" s="171">
        <f t="shared" si="459"/>
        <v>8651.41</v>
      </c>
      <c r="AP364" s="171">
        <f t="shared" si="459"/>
        <v>0</v>
      </c>
      <c r="AQ364" s="171">
        <f t="shared" si="459"/>
        <v>30756.89</v>
      </c>
      <c r="AR364" s="171">
        <f t="shared" si="459"/>
        <v>1885</v>
      </c>
      <c r="AS364" s="171">
        <f t="shared" si="459"/>
        <v>0</v>
      </c>
      <c r="AT364" s="171">
        <f t="shared" si="459"/>
        <v>56591.7</v>
      </c>
      <c r="AU364" s="171">
        <f t="shared" si="459"/>
        <v>0</v>
      </c>
      <c r="AV364" s="171">
        <f t="shared" si="459"/>
        <v>0</v>
      </c>
      <c r="AW364" s="171">
        <f t="shared" si="459"/>
        <v>56591.7</v>
      </c>
      <c r="AX364" s="171">
        <f t="shared" si="459"/>
        <v>0</v>
      </c>
    </row>
    <row r="365" spans="2:50" s="69" customFormat="1" ht="61.5">
      <c r="B365" s="660"/>
      <c r="C365" s="179" t="s">
        <v>1131</v>
      </c>
      <c r="D365" s="180"/>
      <c r="E365" s="181"/>
      <c r="F365" s="181"/>
      <c r="G365" s="181"/>
      <c r="H365" s="682"/>
      <c r="I365" s="181"/>
      <c r="J365" s="682"/>
      <c r="K365" s="181"/>
      <c r="L365" s="181"/>
      <c r="M365" s="682"/>
      <c r="N365" s="181"/>
      <c r="O365" s="682"/>
      <c r="P365" s="181"/>
      <c r="Q365" s="181"/>
      <c r="R365" s="181"/>
      <c r="S365" s="181"/>
      <c r="T365" s="181"/>
      <c r="U365" s="181"/>
      <c r="V365" s="683"/>
      <c r="W365" s="181"/>
      <c r="X365" s="683"/>
      <c r="Y365" s="683"/>
      <c r="Z365" s="181"/>
      <c r="AA365" s="181"/>
      <c r="AB365" s="181"/>
      <c r="AC365" s="183"/>
      <c r="AD365" s="183"/>
      <c r="AE365" s="183"/>
      <c r="AF365" s="183"/>
      <c r="AG365" s="183"/>
      <c r="AH365" s="183"/>
      <c r="AI365" s="191"/>
      <c r="AJ365" s="191"/>
      <c r="AK365" s="191"/>
      <c r="AL365" s="191"/>
      <c r="AM365" s="191"/>
      <c r="AN365" s="191"/>
      <c r="AO365" s="193"/>
      <c r="AP365" s="193"/>
      <c r="AQ365" s="193"/>
      <c r="AR365" s="193"/>
      <c r="AS365" s="193"/>
      <c r="AT365" s="197"/>
      <c r="AU365" s="197"/>
      <c r="AV365" s="191"/>
      <c r="AW365" s="236"/>
      <c r="AX365" s="236"/>
    </row>
    <row r="366" spans="2:50" s="69" customFormat="1" ht="33">
      <c r="B366" s="660"/>
      <c r="C366" s="208" t="s">
        <v>1508</v>
      </c>
      <c r="D366" s="180"/>
      <c r="E366" s="181"/>
      <c r="F366" s="181"/>
      <c r="G366" s="181"/>
      <c r="H366" s="682"/>
      <c r="I366" s="181"/>
      <c r="J366" s="682"/>
      <c r="K366" s="181"/>
      <c r="L366" s="181"/>
      <c r="M366" s="682"/>
      <c r="N366" s="181"/>
      <c r="O366" s="682"/>
      <c r="P366" s="181"/>
      <c r="Q366" s="181"/>
      <c r="R366" s="181"/>
      <c r="S366" s="181"/>
      <c r="T366" s="181"/>
      <c r="U366" s="181"/>
      <c r="V366" s="683"/>
      <c r="W366" s="181"/>
      <c r="X366" s="683"/>
      <c r="Y366" s="683"/>
      <c r="Z366" s="181"/>
      <c r="AA366" s="181"/>
      <c r="AB366" s="181"/>
      <c r="AC366" s="183"/>
      <c r="AD366" s="183"/>
      <c r="AE366" s="183"/>
      <c r="AF366" s="183"/>
      <c r="AG366" s="183"/>
      <c r="AH366" s="183"/>
      <c r="AI366" s="191"/>
      <c r="AJ366" s="191"/>
      <c r="AK366" s="191"/>
      <c r="AL366" s="191"/>
      <c r="AM366" s="191"/>
      <c r="AN366" s="191"/>
      <c r="AO366" s="193"/>
      <c r="AP366" s="193"/>
      <c r="AQ366" s="193"/>
      <c r="AR366" s="193"/>
      <c r="AS366" s="193"/>
      <c r="AT366" s="197"/>
      <c r="AU366" s="197"/>
      <c r="AV366" s="191"/>
      <c r="AW366" s="236"/>
      <c r="AX366" s="236"/>
    </row>
    <row r="367" spans="2:50" s="69" customFormat="1" ht="63">
      <c r="B367" s="660">
        <f>B362+1</f>
        <v>235</v>
      </c>
      <c r="C367" s="185" t="s">
        <v>1132</v>
      </c>
      <c r="D367" s="186" t="s">
        <v>1049</v>
      </c>
      <c r="E367" s="660" t="s">
        <v>1133</v>
      </c>
      <c r="F367" s="660">
        <v>9</v>
      </c>
      <c r="G367" s="187">
        <v>5527</v>
      </c>
      <c r="H367" s="687"/>
      <c r="I367" s="187"/>
      <c r="J367" s="687"/>
      <c r="K367" s="187"/>
      <c r="L367" s="187"/>
      <c r="M367" s="687"/>
      <c r="N367" s="187"/>
      <c r="O367" s="687"/>
      <c r="P367" s="187"/>
      <c r="Q367" s="194"/>
      <c r="R367" s="187">
        <f>G367+I367+K367+L367+N367+P367+Q367</f>
        <v>5527</v>
      </c>
      <c r="S367" s="187">
        <v>1</v>
      </c>
      <c r="T367" s="187"/>
      <c r="U367" s="194"/>
      <c r="V367" s="692"/>
      <c r="W367" s="194"/>
      <c r="X367" s="674">
        <v>32</v>
      </c>
      <c r="Y367" s="688">
        <v>0.3</v>
      </c>
      <c r="Z367" s="187">
        <f>R367*Y367</f>
        <v>1658.1</v>
      </c>
      <c r="AA367" s="187">
        <f>AH367</f>
        <v>814.89999999999964</v>
      </c>
      <c r="AB367" s="187">
        <f>(R367+Z367)*S367+AA367</f>
        <v>8000</v>
      </c>
      <c r="AC367" s="689">
        <f>AF367</f>
        <v>5500</v>
      </c>
      <c r="AD367" s="689">
        <f>AB367+AC367</f>
        <v>13500</v>
      </c>
      <c r="AE367" s="190">
        <f>13500*S367</f>
        <v>13500</v>
      </c>
      <c r="AF367" s="190">
        <f>AE367-AB367</f>
        <v>5500</v>
      </c>
      <c r="AG367" s="689">
        <f>8000*S367</f>
        <v>8000</v>
      </c>
      <c r="AH367" s="190">
        <f>AG367-(R367+Z367)*S367</f>
        <v>814.89999999999964</v>
      </c>
      <c r="AI367" s="191">
        <f>G367*S367</f>
        <v>5527</v>
      </c>
      <c r="AJ367" s="191">
        <f>G367*T367</f>
        <v>0</v>
      </c>
      <c r="AK367" s="191">
        <f>R367*S367</f>
        <v>5527</v>
      </c>
      <c r="AL367" s="191">
        <f>R367*T367</f>
        <v>0</v>
      </c>
      <c r="AM367" s="191">
        <f>AK367-AI367</f>
        <v>0</v>
      </c>
      <c r="AN367" s="191">
        <f>AL367-AJ367</f>
        <v>0</v>
      </c>
      <c r="AO367" s="193">
        <f>Z367*S367</f>
        <v>1658.1</v>
      </c>
      <c r="AP367" s="193">
        <f>Z367*T367</f>
        <v>0</v>
      </c>
      <c r="AQ367" s="193">
        <f>AA367</f>
        <v>814.89999999999964</v>
      </c>
      <c r="AR367" s="193">
        <f>W367*S367</f>
        <v>0</v>
      </c>
      <c r="AS367" s="193">
        <f>W367*T367</f>
        <v>0</v>
      </c>
      <c r="AT367" s="197">
        <f t="shared" si="394"/>
        <v>5527</v>
      </c>
      <c r="AU367" s="197">
        <f t="shared" si="394"/>
        <v>0</v>
      </c>
      <c r="AV367" s="191"/>
      <c r="AW367" s="236">
        <f>R367*S367</f>
        <v>5527</v>
      </c>
      <c r="AX367" s="236"/>
    </row>
    <row r="368" spans="2:50" s="69" customFormat="1" ht="31.5">
      <c r="B368" s="660"/>
      <c r="C368" s="168" t="s">
        <v>1662</v>
      </c>
      <c r="D368" s="195"/>
      <c r="E368" s="181"/>
      <c r="F368" s="181"/>
      <c r="G368" s="171">
        <f>SUM(G367)</f>
        <v>5527</v>
      </c>
      <c r="H368" s="682"/>
      <c r="I368" s="181"/>
      <c r="J368" s="682"/>
      <c r="K368" s="181"/>
      <c r="L368" s="181"/>
      <c r="M368" s="682"/>
      <c r="N368" s="181"/>
      <c r="O368" s="682"/>
      <c r="P368" s="181"/>
      <c r="Q368" s="181"/>
      <c r="R368" s="171">
        <f>SUM(R367:R367)</f>
        <v>5527</v>
      </c>
      <c r="S368" s="171">
        <f>SUM(S367:S367)</f>
        <v>1</v>
      </c>
      <c r="T368" s="171">
        <f>SUM(T367:T367)</f>
        <v>0</v>
      </c>
      <c r="U368" s="171"/>
      <c r="V368" s="693"/>
      <c r="W368" s="171"/>
      <c r="X368" s="693"/>
      <c r="Y368" s="693"/>
      <c r="Z368" s="171">
        <f t="shared" ref="Z368:AX368" si="460">SUM(Z367:Z367)</f>
        <v>1658.1</v>
      </c>
      <c r="AA368" s="171">
        <f t="shared" si="460"/>
        <v>814.89999999999964</v>
      </c>
      <c r="AB368" s="171">
        <f t="shared" si="460"/>
        <v>8000</v>
      </c>
      <c r="AC368" s="171">
        <f t="shared" si="460"/>
        <v>5500</v>
      </c>
      <c r="AD368" s="171">
        <f>SUM(AD367:AD367)</f>
        <v>13500</v>
      </c>
      <c r="AE368" s="171">
        <f t="shared" si="460"/>
        <v>13500</v>
      </c>
      <c r="AF368" s="171">
        <f t="shared" si="460"/>
        <v>5500</v>
      </c>
      <c r="AG368" s="171">
        <f t="shared" si="460"/>
        <v>8000</v>
      </c>
      <c r="AH368" s="171">
        <f t="shared" si="460"/>
        <v>814.89999999999964</v>
      </c>
      <c r="AI368" s="171">
        <f t="shared" si="460"/>
        <v>5527</v>
      </c>
      <c r="AJ368" s="171">
        <f t="shared" si="460"/>
        <v>0</v>
      </c>
      <c r="AK368" s="171">
        <f t="shared" si="460"/>
        <v>5527</v>
      </c>
      <c r="AL368" s="171">
        <f t="shared" si="460"/>
        <v>0</v>
      </c>
      <c r="AM368" s="171">
        <f t="shared" si="460"/>
        <v>0</v>
      </c>
      <c r="AN368" s="171">
        <f t="shared" si="460"/>
        <v>0</v>
      </c>
      <c r="AO368" s="171">
        <f t="shared" si="460"/>
        <v>1658.1</v>
      </c>
      <c r="AP368" s="171">
        <f t="shared" si="460"/>
        <v>0</v>
      </c>
      <c r="AQ368" s="171">
        <f t="shared" si="460"/>
        <v>814.89999999999964</v>
      </c>
      <c r="AR368" s="171">
        <f t="shared" si="460"/>
        <v>0</v>
      </c>
      <c r="AS368" s="171">
        <f t="shared" si="460"/>
        <v>0</v>
      </c>
      <c r="AT368" s="171">
        <f t="shared" si="460"/>
        <v>5527</v>
      </c>
      <c r="AU368" s="171">
        <f t="shared" si="460"/>
        <v>0</v>
      </c>
      <c r="AV368" s="171">
        <f t="shared" si="460"/>
        <v>0</v>
      </c>
      <c r="AW368" s="171">
        <f t="shared" si="460"/>
        <v>5527</v>
      </c>
      <c r="AX368" s="171">
        <f t="shared" si="460"/>
        <v>0</v>
      </c>
    </row>
    <row r="369" spans="2:53" s="69" customFormat="1" ht="31.5">
      <c r="B369" s="660"/>
      <c r="C369" s="168" t="s">
        <v>1223</v>
      </c>
      <c r="D369" s="195"/>
      <c r="E369" s="181"/>
      <c r="F369" s="181"/>
      <c r="G369" s="171">
        <f>G364+G368</f>
        <v>61566</v>
      </c>
      <c r="H369" s="693"/>
      <c r="I369" s="171">
        <f>I364+I368</f>
        <v>552.70000000000005</v>
      </c>
      <c r="J369" s="693"/>
      <c r="K369" s="171"/>
      <c r="L369" s="171"/>
      <c r="M369" s="693"/>
      <c r="N369" s="171"/>
      <c r="O369" s="693"/>
      <c r="P369" s="171"/>
      <c r="Q369" s="171"/>
      <c r="R369" s="171">
        <f t="shared" ref="R369:AA369" si="461">R364+R368</f>
        <v>62118.7</v>
      </c>
      <c r="S369" s="171">
        <f>S364+S368</f>
        <v>13</v>
      </c>
      <c r="T369" s="171">
        <f t="shared" si="461"/>
        <v>0</v>
      </c>
      <c r="U369" s="171"/>
      <c r="V369" s="693"/>
      <c r="W369" s="171">
        <f t="shared" si="461"/>
        <v>1885</v>
      </c>
      <c r="X369" s="693"/>
      <c r="Y369" s="693"/>
      <c r="Z369" s="171">
        <f t="shared" si="461"/>
        <v>1658.1</v>
      </c>
      <c r="AA369" s="171">
        <f t="shared" si="461"/>
        <v>31571.79</v>
      </c>
      <c r="AB369" s="171">
        <f>AB364+AB368</f>
        <v>105885</v>
      </c>
      <c r="AC369" s="171">
        <f t="shared" ref="AC369:AX369" si="462">AC364+AC368</f>
        <v>50500</v>
      </c>
      <c r="AD369" s="171">
        <f>AD364+AD368</f>
        <v>156385</v>
      </c>
      <c r="AE369" s="171">
        <f t="shared" si="462"/>
        <v>156385</v>
      </c>
      <c r="AF369" s="171">
        <f t="shared" si="462"/>
        <v>50500</v>
      </c>
      <c r="AG369" s="171">
        <f>AG364+AG368</f>
        <v>104000</v>
      </c>
      <c r="AH369" s="171">
        <f t="shared" si="462"/>
        <v>31571.79</v>
      </c>
      <c r="AI369" s="171">
        <f t="shared" si="462"/>
        <v>61566</v>
      </c>
      <c r="AJ369" s="171">
        <f t="shared" si="462"/>
        <v>0</v>
      </c>
      <c r="AK369" s="171">
        <f t="shared" si="462"/>
        <v>62118.7</v>
      </c>
      <c r="AL369" s="171">
        <f t="shared" si="462"/>
        <v>0</v>
      </c>
      <c r="AM369" s="171">
        <f t="shared" si="462"/>
        <v>552.69999999999982</v>
      </c>
      <c r="AN369" s="171">
        <f t="shared" si="462"/>
        <v>0</v>
      </c>
      <c r="AO369" s="171">
        <f t="shared" si="462"/>
        <v>10309.51</v>
      </c>
      <c r="AP369" s="171">
        <f t="shared" si="462"/>
        <v>0</v>
      </c>
      <c r="AQ369" s="171">
        <f t="shared" si="462"/>
        <v>31571.79</v>
      </c>
      <c r="AR369" s="171">
        <f t="shared" si="462"/>
        <v>1885</v>
      </c>
      <c r="AS369" s="171">
        <f t="shared" si="462"/>
        <v>0</v>
      </c>
      <c r="AT369" s="171">
        <f t="shared" si="462"/>
        <v>62118.7</v>
      </c>
      <c r="AU369" s="171">
        <f t="shared" si="462"/>
        <v>0</v>
      </c>
      <c r="AV369" s="171">
        <f t="shared" si="462"/>
        <v>0</v>
      </c>
      <c r="AW369" s="171">
        <f t="shared" si="462"/>
        <v>62118.7</v>
      </c>
      <c r="AX369" s="171">
        <f t="shared" si="462"/>
        <v>0</v>
      </c>
    </row>
    <row r="370" spans="2:53" s="69" customFormat="1" ht="61.5">
      <c r="B370" s="660"/>
      <c r="C370" s="179" t="s">
        <v>1019</v>
      </c>
      <c r="D370" s="180"/>
      <c r="E370" s="181"/>
      <c r="F370" s="181"/>
      <c r="G370" s="181"/>
      <c r="H370" s="682"/>
      <c r="I370" s="181"/>
      <c r="J370" s="682"/>
      <c r="K370" s="181"/>
      <c r="L370" s="181"/>
      <c r="M370" s="682"/>
      <c r="N370" s="181"/>
      <c r="O370" s="682"/>
      <c r="P370" s="181"/>
      <c r="Q370" s="181"/>
      <c r="R370" s="181"/>
      <c r="S370" s="181"/>
      <c r="T370" s="181"/>
      <c r="U370" s="181"/>
      <c r="V370" s="683"/>
      <c r="W370" s="181"/>
      <c r="X370" s="683"/>
      <c r="Y370" s="683"/>
      <c r="Z370" s="181"/>
      <c r="AA370" s="181"/>
      <c r="AB370" s="181"/>
      <c r="AC370" s="183"/>
      <c r="AD370" s="183"/>
      <c r="AE370" s="183"/>
      <c r="AF370" s="183"/>
      <c r="AG370" s="183"/>
      <c r="AH370" s="183"/>
      <c r="AI370" s="191"/>
      <c r="AJ370" s="191"/>
      <c r="AK370" s="191"/>
      <c r="AL370" s="191"/>
      <c r="AM370" s="191"/>
      <c r="AN370" s="191"/>
      <c r="AO370" s="193"/>
      <c r="AP370" s="193"/>
      <c r="AQ370" s="193"/>
      <c r="AR370" s="193"/>
      <c r="AS370" s="193"/>
      <c r="AT370" s="197"/>
      <c r="AU370" s="197"/>
      <c r="AV370" s="191"/>
      <c r="AW370" s="236"/>
      <c r="AX370" s="236"/>
    </row>
    <row r="371" spans="2:53" s="69" customFormat="1" ht="61.5">
      <c r="B371" s="660"/>
      <c r="C371" s="179" t="s">
        <v>1020</v>
      </c>
      <c r="D371" s="180"/>
      <c r="E371" s="181"/>
      <c r="F371" s="181"/>
      <c r="G371" s="181"/>
      <c r="H371" s="682"/>
      <c r="I371" s="181"/>
      <c r="J371" s="682"/>
      <c r="K371" s="181"/>
      <c r="L371" s="181"/>
      <c r="M371" s="682"/>
      <c r="N371" s="181"/>
      <c r="O371" s="682"/>
      <c r="P371" s="181"/>
      <c r="Q371" s="181"/>
      <c r="R371" s="181"/>
      <c r="S371" s="181"/>
      <c r="T371" s="181"/>
      <c r="U371" s="181"/>
      <c r="V371" s="683"/>
      <c r="W371" s="181"/>
      <c r="X371" s="683"/>
      <c r="Y371" s="683"/>
      <c r="Z371" s="181"/>
      <c r="AA371" s="181"/>
      <c r="AB371" s="181"/>
      <c r="AC371" s="183"/>
      <c r="AD371" s="183"/>
      <c r="AE371" s="183"/>
      <c r="AF371" s="183"/>
      <c r="AG371" s="183"/>
      <c r="AH371" s="183"/>
      <c r="AI371" s="191"/>
      <c r="AJ371" s="191"/>
      <c r="AK371" s="191"/>
      <c r="AL371" s="191"/>
      <c r="AM371" s="191"/>
      <c r="AN371" s="191"/>
      <c r="AO371" s="193"/>
      <c r="AP371" s="193"/>
      <c r="AQ371" s="193"/>
      <c r="AR371" s="193"/>
      <c r="AS371" s="193"/>
      <c r="AT371" s="197"/>
      <c r="AU371" s="197"/>
      <c r="AV371" s="191"/>
      <c r="AW371" s="236"/>
      <c r="AX371" s="236"/>
    </row>
    <row r="372" spans="2:53" s="69" customFormat="1" ht="33">
      <c r="B372" s="660"/>
      <c r="C372" s="208" t="s">
        <v>1309</v>
      </c>
      <c r="D372" s="205"/>
      <c r="E372" s="206"/>
      <c r="F372" s="206"/>
      <c r="G372" s="206"/>
      <c r="H372" s="696"/>
      <c r="I372" s="206"/>
      <c r="J372" s="696"/>
      <c r="K372" s="206"/>
      <c r="L372" s="206"/>
      <c r="M372" s="696"/>
      <c r="N372" s="206"/>
      <c r="O372" s="696"/>
      <c r="P372" s="206"/>
      <c r="Q372" s="206"/>
      <c r="R372" s="206"/>
      <c r="S372" s="206"/>
      <c r="T372" s="206"/>
      <c r="U372" s="206"/>
      <c r="V372" s="697"/>
      <c r="W372" s="206"/>
      <c r="X372" s="697"/>
      <c r="Y372" s="697"/>
      <c r="Z372" s="206"/>
      <c r="AA372" s="206"/>
      <c r="AB372" s="206"/>
      <c r="AC372" s="207"/>
      <c r="AD372" s="207"/>
      <c r="AE372" s="207"/>
      <c r="AF372" s="207"/>
      <c r="AG372" s="207"/>
      <c r="AH372" s="207"/>
      <c r="AI372" s="191"/>
      <c r="AJ372" s="191"/>
      <c r="AK372" s="191"/>
      <c r="AL372" s="191"/>
      <c r="AM372" s="191"/>
      <c r="AN372" s="191"/>
      <c r="AO372" s="193"/>
      <c r="AP372" s="193"/>
      <c r="AQ372" s="193"/>
      <c r="AR372" s="193"/>
      <c r="AS372" s="193"/>
      <c r="AT372" s="197"/>
      <c r="AU372" s="197"/>
      <c r="AV372" s="191"/>
      <c r="AW372" s="236"/>
      <c r="AX372" s="236"/>
      <c r="BA372" s="70"/>
    </row>
    <row r="373" spans="2:53" s="69" customFormat="1" ht="87.75">
      <c r="B373" s="660">
        <f>B367+1</f>
        <v>236</v>
      </c>
      <c r="C373" s="185" t="s">
        <v>1021</v>
      </c>
      <c r="D373" s="186" t="s">
        <v>306</v>
      </c>
      <c r="E373" s="660" t="s">
        <v>1022</v>
      </c>
      <c r="F373" s="660">
        <v>13</v>
      </c>
      <c r="G373" s="187">
        <v>7253</v>
      </c>
      <c r="H373" s="688">
        <v>0.1</v>
      </c>
      <c r="I373" s="187">
        <f>G373*H373</f>
        <v>725.30000000000007</v>
      </c>
      <c r="J373" s="674"/>
      <c r="K373" s="660"/>
      <c r="L373" s="660"/>
      <c r="M373" s="674"/>
      <c r="N373" s="181"/>
      <c r="O373" s="688">
        <v>0.15</v>
      </c>
      <c r="P373" s="187">
        <f>(G373+I373)*O373</f>
        <v>1196.7449999999999</v>
      </c>
      <c r="Q373" s="189"/>
      <c r="R373" s="187">
        <f>G373+I373+K373+L373+N373+P373+Q373</f>
        <v>9175.0450000000001</v>
      </c>
      <c r="S373" s="187">
        <v>1</v>
      </c>
      <c r="T373" s="660"/>
      <c r="U373" s="660"/>
      <c r="V373" s="674"/>
      <c r="W373" s="660"/>
      <c r="X373" s="674">
        <v>36</v>
      </c>
      <c r="Y373" s="688">
        <v>0.3</v>
      </c>
      <c r="Z373" s="187">
        <f>R373*Y373</f>
        <v>2752.5135</v>
      </c>
      <c r="AA373" s="187"/>
      <c r="AB373" s="187">
        <f>(R373+Z373)*S373</f>
        <v>11927.558499999999</v>
      </c>
      <c r="AC373" s="689">
        <f>AF373</f>
        <v>8072.4415000000008</v>
      </c>
      <c r="AD373" s="689">
        <f>AB373+AC373</f>
        <v>20000</v>
      </c>
      <c r="AE373" s="190">
        <f>20000*S373</f>
        <v>20000</v>
      </c>
      <c r="AF373" s="190">
        <f>AE373-AB373</f>
        <v>8072.4415000000008</v>
      </c>
      <c r="AG373" s="689">
        <f>8000*S373</f>
        <v>8000</v>
      </c>
      <c r="AH373" s="190">
        <f>AG373-(R373+Z373)*S373</f>
        <v>-3927.5584999999992</v>
      </c>
      <c r="AI373" s="191">
        <f>G373*S373</f>
        <v>7253</v>
      </c>
      <c r="AJ373" s="191">
        <f>G373*T373</f>
        <v>0</v>
      </c>
      <c r="AK373" s="191">
        <f>R373*S373</f>
        <v>9175.0450000000001</v>
      </c>
      <c r="AL373" s="191">
        <f>R373*T373</f>
        <v>0</v>
      </c>
      <c r="AM373" s="191">
        <f>AK373-AI373</f>
        <v>1922.0450000000001</v>
      </c>
      <c r="AN373" s="191">
        <f>AL373-AJ373</f>
        <v>0</v>
      </c>
      <c r="AO373" s="193">
        <f>Z373*S373</f>
        <v>2752.5135</v>
      </c>
      <c r="AP373" s="193">
        <f>Z373*T373</f>
        <v>0</v>
      </c>
      <c r="AQ373" s="193">
        <f>AA373</f>
        <v>0</v>
      </c>
      <c r="AR373" s="193">
        <f>W373*S373</f>
        <v>0</v>
      </c>
      <c r="AS373" s="193">
        <f>W373*T373</f>
        <v>0</v>
      </c>
      <c r="AT373" s="197">
        <f>AK373</f>
        <v>9175.0450000000001</v>
      </c>
      <c r="AU373" s="197">
        <f>AL373</f>
        <v>0</v>
      </c>
      <c r="AV373" s="191"/>
      <c r="AW373" s="236">
        <f>R373*S373</f>
        <v>9175.0450000000001</v>
      </c>
      <c r="AX373" s="236"/>
    </row>
    <row r="374" spans="2:53" s="69" customFormat="1" ht="87.75">
      <c r="B374" s="660">
        <f>1+B373</f>
        <v>237</v>
      </c>
      <c r="C374" s="185" t="s">
        <v>307</v>
      </c>
      <c r="D374" s="186" t="s">
        <v>1705</v>
      </c>
      <c r="E374" s="660" t="s">
        <v>1023</v>
      </c>
      <c r="F374" s="660">
        <v>13</v>
      </c>
      <c r="G374" s="187">
        <v>7253</v>
      </c>
      <c r="H374" s="674"/>
      <c r="I374" s="660"/>
      <c r="J374" s="674"/>
      <c r="K374" s="660"/>
      <c r="L374" s="660"/>
      <c r="M374" s="674"/>
      <c r="N374" s="181"/>
      <c r="O374" s="688">
        <v>0.15</v>
      </c>
      <c r="P374" s="187">
        <f>(G374+I374)*O374</f>
        <v>1087.95</v>
      </c>
      <c r="Q374" s="189"/>
      <c r="R374" s="187">
        <f>G374+I374+K374+L374+N374+P374+Q374</f>
        <v>8340.9500000000007</v>
      </c>
      <c r="S374" s="187">
        <v>1</v>
      </c>
      <c r="T374" s="660"/>
      <c r="U374" s="660"/>
      <c r="V374" s="674"/>
      <c r="W374" s="660"/>
      <c r="X374" s="674">
        <v>31</v>
      </c>
      <c r="Y374" s="688">
        <v>0.3</v>
      </c>
      <c r="Z374" s="187">
        <f>R374*Y374</f>
        <v>2502.2850000000003</v>
      </c>
      <c r="AA374" s="187"/>
      <c r="AB374" s="187">
        <f>(R374+Z374)*S374</f>
        <v>10843.235000000001</v>
      </c>
      <c r="AC374" s="689">
        <f>AF374</f>
        <v>9156.7649999999994</v>
      </c>
      <c r="AD374" s="689">
        <f>AB374+AC374</f>
        <v>20000</v>
      </c>
      <c r="AE374" s="190">
        <f>20000*S374</f>
        <v>20000</v>
      </c>
      <c r="AF374" s="190">
        <f>AE374-AB374</f>
        <v>9156.7649999999994</v>
      </c>
      <c r="AG374" s="689">
        <f>8000*S374</f>
        <v>8000</v>
      </c>
      <c r="AH374" s="190">
        <f>AG374-(R374+Z374)*S374</f>
        <v>-2843.2350000000006</v>
      </c>
      <c r="AI374" s="191">
        <f>G374*S374</f>
        <v>7253</v>
      </c>
      <c r="AJ374" s="191">
        <f>G374*T374</f>
        <v>0</v>
      </c>
      <c r="AK374" s="191">
        <f>R374*S374</f>
        <v>8340.9500000000007</v>
      </c>
      <c r="AL374" s="191">
        <f>R374*T374</f>
        <v>0</v>
      </c>
      <c r="AM374" s="191">
        <f>AK374-AI374</f>
        <v>1087.9500000000007</v>
      </c>
      <c r="AN374" s="191">
        <f>AL374-AJ374</f>
        <v>0</v>
      </c>
      <c r="AO374" s="193">
        <f>Z374*S374</f>
        <v>2502.2850000000003</v>
      </c>
      <c r="AP374" s="193">
        <f>Z374*T374</f>
        <v>0</v>
      </c>
      <c r="AQ374" s="193">
        <f>AA374</f>
        <v>0</v>
      </c>
      <c r="AR374" s="193">
        <f>W374*S374</f>
        <v>0</v>
      </c>
      <c r="AS374" s="193">
        <f>W374*T374</f>
        <v>0</v>
      </c>
      <c r="AT374" s="197">
        <f>AK374</f>
        <v>8340.9500000000007</v>
      </c>
      <c r="AU374" s="197">
        <f>AL374</f>
        <v>0</v>
      </c>
      <c r="AV374" s="191"/>
      <c r="AW374" s="236">
        <f>R374*S374</f>
        <v>8340.9500000000007</v>
      </c>
      <c r="AX374" s="236"/>
    </row>
    <row r="375" spans="2:53" s="69" customFormat="1" ht="31.5">
      <c r="B375" s="660"/>
      <c r="C375" s="168" t="s">
        <v>1662</v>
      </c>
      <c r="D375" s="195"/>
      <c r="E375" s="181"/>
      <c r="F375" s="181"/>
      <c r="G375" s="171">
        <f>SUM(G373:G374)</f>
        <v>14506</v>
      </c>
      <c r="H375" s="703"/>
      <c r="I375" s="171">
        <f>SUM(I373:I374)</f>
        <v>725.30000000000007</v>
      </c>
      <c r="J375" s="682"/>
      <c r="K375" s="181"/>
      <c r="L375" s="181"/>
      <c r="M375" s="682"/>
      <c r="N375" s="181"/>
      <c r="O375" s="682"/>
      <c r="P375" s="171">
        <f>SUM(P373:P374)</f>
        <v>2284.6949999999997</v>
      </c>
      <c r="Q375" s="181"/>
      <c r="R375" s="171">
        <f>SUM(R373:R374)</f>
        <v>17515.995000000003</v>
      </c>
      <c r="S375" s="171">
        <f>SUM(S373:S374)</f>
        <v>2</v>
      </c>
      <c r="T375" s="171">
        <f>SUM(T373:T374)</f>
        <v>0</v>
      </c>
      <c r="U375" s="171"/>
      <c r="V375" s="693"/>
      <c r="W375" s="171"/>
      <c r="X375" s="693"/>
      <c r="Y375" s="693"/>
      <c r="Z375" s="171">
        <f>SUM(Z373:Z374)</f>
        <v>5254.7985000000008</v>
      </c>
      <c r="AA375" s="171">
        <f t="shared" ref="AA375:AV375" si="463">SUM(AA373:AA374)</f>
        <v>0</v>
      </c>
      <c r="AB375" s="171">
        <f>SUM(AB373:AB374)</f>
        <v>22770.7935</v>
      </c>
      <c r="AC375" s="171">
        <f>SUM(AC373:AC374)</f>
        <v>17229.2065</v>
      </c>
      <c r="AD375" s="171">
        <f>SUM(AD373:AD374)</f>
        <v>40000</v>
      </c>
      <c r="AE375" s="171">
        <f t="shared" si="463"/>
        <v>40000</v>
      </c>
      <c r="AF375" s="171">
        <f t="shared" si="463"/>
        <v>17229.2065</v>
      </c>
      <c r="AG375" s="171">
        <f t="shared" si="463"/>
        <v>16000</v>
      </c>
      <c r="AH375" s="171">
        <f t="shared" si="463"/>
        <v>-6770.7934999999998</v>
      </c>
      <c r="AI375" s="171">
        <f t="shared" si="463"/>
        <v>14506</v>
      </c>
      <c r="AJ375" s="171">
        <f t="shared" si="463"/>
        <v>0</v>
      </c>
      <c r="AK375" s="171">
        <f t="shared" si="463"/>
        <v>17515.995000000003</v>
      </c>
      <c r="AL375" s="171">
        <f t="shared" si="463"/>
        <v>0</v>
      </c>
      <c r="AM375" s="171">
        <f t="shared" si="463"/>
        <v>3009.9950000000008</v>
      </c>
      <c r="AN375" s="171">
        <f t="shared" si="463"/>
        <v>0</v>
      </c>
      <c r="AO375" s="171">
        <f t="shared" si="463"/>
        <v>5254.7985000000008</v>
      </c>
      <c r="AP375" s="171">
        <f t="shared" si="463"/>
        <v>0</v>
      </c>
      <c r="AQ375" s="171">
        <f t="shared" si="463"/>
        <v>0</v>
      </c>
      <c r="AR375" s="171">
        <f t="shared" si="463"/>
        <v>0</v>
      </c>
      <c r="AS375" s="171">
        <f t="shared" si="463"/>
        <v>0</v>
      </c>
      <c r="AT375" s="171">
        <f t="shared" si="463"/>
        <v>17515.995000000003</v>
      </c>
      <c r="AU375" s="171">
        <f t="shared" si="463"/>
        <v>0</v>
      </c>
      <c r="AV375" s="171">
        <f t="shared" si="463"/>
        <v>0</v>
      </c>
      <c r="AW375" s="171">
        <f>SUM(AW373:AW374)</f>
        <v>17515.995000000003</v>
      </c>
      <c r="AX375" s="171">
        <f>SUM(AX373:AX374)</f>
        <v>0</v>
      </c>
    </row>
    <row r="376" spans="2:53" s="69" customFormat="1" ht="33">
      <c r="B376" s="660"/>
      <c r="C376" s="208" t="s">
        <v>1508</v>
      </c>
      <c r="D376" s="180"/>
      <c r="E376" s="181"/>
      <c r="F376" s="181"/>
      <c r="G376" s="181"/>
      <c r="H376" s="682"/>
      <c r="I376" s="181"/>
      <c r="J376" s="682"/>
      <c r="K376" s="181"/>
      <c r="L376" s="181"/>
      <c r="M376" s="682"/>
      <c r="N376" s="181"/>
      <c r="O376" s="682"/>
      <c r="P376" s="171"/>
      <c r="Q376" s="181"/>
      <c r="R376" s="181"/>
      <c r="S376" s="181"/>
      <c r="T376" s="181"/>
      <c r="U376" s="181"/>
      <c r="V376" s="683"/>
      <c r="W376" s="181"/>
      <c r="X376" s="683"/>
      <c r="Y376" s="683"/>
      <c r="Z376" s="181"/>
      <c r="AA376" s="181"/>
      <c r="AB376" s="181"/>
      <c r="AC376" s="183"/>
      <c r="AD376" s="183"/>
      <c r="AE376" s="183"/>
      <c r="AF376" s="183"/>
      <c r="AG376" s="183"/>
      <c r="AH376" s="183"/>
      <c r="AI376" s="191"/>
      <c r="AJ376" s="191"/>
      <c r="AK376" s="191"/>
      <c r="AL376" s="191"/>
      <c r="AM376" s="191"/>
      <c r="AN376" s="191"/>
      <c r="AO376" s="193"/>
      <c r="AP376" s="193"/>
      <c r="AQ376" s="193"/>
      <c r="AR376" s="193"/>
      <c r="AS376" s="193"/>
      <c r="AT376" s="197"/>
      <c r="AU376" s="197"/>
      <c r="AV376" s="191"/>
      <c r="AW376" s="236"/>
      <c r="AX376" s="236"/>
    </row>
    <row r="377" spans="2:53" s="69" customFormat="1" ht="63">
      <c r="B377" s="660">
        <f>B374+1</f>
        <v>238</v>
      </c>
      <c r="C377" s="185" t="s">
        <v>1105</v>
      </c>
      <c r="D377" s="186" t="s">
        <v>1302</v>
      </c>
      <c r="E377" s="660" t="s">
        <v>1767</v>
      </c>
      <c r="F377" s="194">
        <v>10</v>
      </c>
      <c r="G377" s="187">
        <v>5815</v>
      </c>
      <c r="H377" s="687"/>
      <c r="I377" s="187"/>
      <c r="J377" s="687"/>
      <c r="K377" s="187"/>
      <c r="L377" s="187"/>
      <c r="M377" s="687"/>
      <c r="N377" s="187"/>
      <c r="O377" s="688">
        <v>0.15</v>
      </c>
      <c r="P377" s="187">
        <f>G377*O377</f>
        <v>872.25</v>
      </c>
      <c r="Q377" s="187"/>
      <c r="R377" s="187">
        <f t="shared" ref="R377:R382" si="464">G377+I377+K377+L377+N377+P377+Q377</f>
        <v>6687.25</v>
      </c>
      <c r="S377" s="187">
        <v>1</v>
      </c>
      <c r="T377" s="187"/>
      <c r="U377" s="187"/>
      <c r="V377" s="687"/>
      <c r="W377" s="187"/>
      <c r="X377" s="674">
        <v>24</v>
      </c>
      <c r="Y377" s="688">
        <v>0.3</v>
      </c>
      <c r="Z377" s="187">
        <f t="shared" ref="Z377:Z382" si="465">R377*Y377</f>
        <v>2006.175</v>
      </c>
      <c r="AA377" s="187"/>
      <c r="AB377" s="187">
        <f t="shared" ref="AB377:AB382" si="466">(R377+Z377)*S377+AA377</f>
        <v>8693.4249999999993</v>
      </c>
      <c r="AC377" s="689">
        <f t="shared" ref="AC377:AC382" si="467">AF377</f>
        <v>4806.5750000000007</v>
      </c>
      <c r="AD377" s="689">
        <f t="shared" ref="AD377:AD382" si="468">AB377+AC377</f>
        <v>13500</v>
      </c>
      <c r="AE377" s="190">
        <f t="shared" ref="AE377:AE382" si="469">13500*S377</f>
        <v>13500</v>
      </c>
      <c r="AF377" s="190">
        <f t="shared" ref="AF377:AF382" si="470">AE377-AB377</f>
        <v>4806.5750000000007</v>
      </c>
      <c r="AG377" s="689">
        <f t="shared" ref="AG377:AG382" si="471">8000*S377</f>
        <v>8000</v>
      </c>
      <c r="AH377" s="190">
        <f t="shared" ref="AH377:AH382" si="472">AG377-(R377+Z377)*S377</f>
        <v>-693.42499999999927</v>
      </c>
      <c r="AI377" s="191">
        <f t="shared" ref="AI377:AI382" si="473">G377*S377</f>
        <v>5815</v>
      </c>
      <c r="AJ377" s="191">
        <f t="shared" ref="AJ377:AJ382" si="474">G377*T377</f>
        <v>0</v>
      </c>
      <c r="AK377" s="191">
        <f t="shared" ref="AK377:AK382" si="475">R377*S377</f>
        <v>6687.25</v>
      </c>
      <c r="AL377" s="191">
        <f t="shared" ref="AL377:AL382" si="476">R377*T377</f>
        <v>0</v>
      </c>
      <c r="AM377" s="191">
        <f t="shared" ref="AM377:AN382" si="477">AK377-AI377</f>
        <v>872.25</v>
      </c>
      <c r="AN377" s="191">
        <f t="shared" si="477"/>
        <v>0</v>
      </c>
      <c r="AO377" s="193">
        <f t="shared" ref="AO377:AO382" si="478">Z377*S377</f>
        <v>2006.175</v>
      </c>
      <c r="AP377" s="193">
        <f t="shared" ref="AP377:AP382" si="479">Z377*T377</f>
        <v>0</v>
      </c>
      <c r="AQ377" s="193">
        <f t="shared" ref="AQ377:AQ382" si="480">AA377</f>
        <v>0</v>
      </c>
      <c r="AR377" s="193">
        <f t="shared" ref="AR377:AR382" si="481">W377*S377</f>
        <v>0</v>
      </c>
      <c r="AS377" s="193">
        <f t="shared" ref="AS377:AS382" si="482">W377*T377</f>
        <v>0</v>
      </c>
      <c r="AT377" s="197">
        <f t="shared" ref="AT377:AU382" si="483">AK377</f>
        <v>6687.25</v>
      </c>
      <c r="AU377" s="197">
        <f t="shared" si="483"/>
        <v>0</v>
      </c>
      <c r="AV377" s="191"/>
      <c r="AW377" s="236">
        <f t="shared" ref="AW377:AW382" si="484">R377*S377</f>
        <v>6687.25</v>
      </c>
      <c r="AX377" s="236"/>
    </row>
    <row r="378" spans="2:53" s="69" customFormat="1" ht="58.5">
      <c r="B378" s="660">
        <f>1+B377</f>
        <v>239</v>
      </c>
      <c r="C378" s="185" t="s">
        <v>1105</v>
      </c>
      <c r="D378" s="186" t="s">
        <v>1303</v>
      </c>
      <c r="E378" s="660" t="s">
        <v>1114</v>
      </c>
      <c r="F378" s="194">
        <v>9</v>
      </c>
      <c r="G378" s="187">
        <v>5527</v>
      </c>
      <c r="H378" s="687"/>
      <c r="I378" s="187"/>
      <c r="J378" s="688"/>
      <c r="K378" s="189"/>
      <c r="L378" s="189"/>
      <c r="M378" s="687"/>
      <c r="N378" s="187"/>
      <c r="O378" s="688">
        <v>0.15</v>
      </c>
      <c r="P378" s="187">
        <f>G378*O378</f>
        <v>829.05</v>
      </c>
      <c r="Q378" s="194"/>
      <c r="R378" s="187">
        <f t="shared" si="464"/>
        <v>6356.05</v>
      </c>
      <c r="S378" s="187">
        <v>1</v>
      </c>
      <c r="T378" s="187"/>
      <c r="U378" s="194"/>
      <c r="V378" s="692"/>
      <c r="W378" s="194"/>
      <c r="X378" s="674">
        <v>19</v>
      </c>
      <c r="Y378" s="688">
        <v>0.2</v>
      </c>
      <c r="Z378" s="187">
        <f t="shared" si="465"/>
        <v>1271.21</v>
      </c>
      <c r="AA378" s="187">
        <f>AH378</f>
        <v>372.73999999999978</v>
      </c>
      <c r="AB378" s="187">
        <f t="shared" si="466"/>
        <v>8000</v>
      </c>
      <c r="AC378" s="689">
        <f t="shared" si="467"/>
        <v>5500</v>
      </c>
      <c r="AD378" s="689">
        <f t="shared" si="468"/>
        <v>13500</v>
      </c>
      <c r="AE378" s="190">
        <f t="shared" si="469"/>
        <v>13500</v>
      </c>
      <c r="AF378" s="190">
        <f t="shared" si="470"/>
        <v>5500</v>
      </c>
      <c r="AG378" s="689">
        <f t="shared" si="471"/>
        <v>8000</v>
      </c>
      <c r="AH378" s="190">
        <f t="shared" si="472"/>
        <v>372.73999999999978</v>
      </c>
      <c r="AI378" s="191">
        <f t="shared" si="473"/>
        <v>5527</v>
      </c>
      <c r="AJ378" s="191">
        <f t="shared" si="474"/>
        <v>0</v>
      </c>
      <c r="AK378" s="191">
        <f t="shared" si="475"/>
        <v>6356.05</v>
      </c>
      <c r="AL378" s="191">
        <f t="shared" si="476"/>
        <v>0</v>
      </c>
      <c r="AM378" s="191">
        <f t="shared" si="477"/>
        <v>829.05000000000018</v>
      </c>
      <c r="AN378" s="191">
        <f t="shared" si="477"/>
        <v>0</v>
      </c>
      <c r="AO378" s="193">
        <f t="shared" si="478"/>
        <v>1271.21</v>
      </c>
      <c r="AP378" s="193">
        <f t="shared" si="479"/>
        <v>0</v>
      </c>
      <c r="AQ378" s="193">
        <f t="shared" si="480"/>
        <v>372.73999999999978</v>
      </c>
      <c r="AR378" s="193">
        <f t="shared" si="481"/>
        <v>0</v>
      </c>
      <c r="AS378" s="193">
        <f t="shared" si="482"/>
        <v>0</v>
      </c>
      <c r="AT378" s="197">
        <f t="shared" si="483"/>
        <v>6356.05</v>
      </c>
      <c r="AU378" s="197">
        <f t="shared" si="483"/>
        <v>0</v>
      </c>
      <c r="AV378" s="191"/>
      <c r="AW378" s="236">
        <f t="shared" si="484"/>
        <v>6356.05</v>
      </c>
      <c r="AX378" s="236"/>
    </row>
    <row r="379" spans="2:53" s="69" customFormat="1" ht="58.5">
      <c r="B379" s="660">
        <f>1+B378</f>
        <v>240</v>
      </c>
      <c r="C379" s="185" t="s">
        <v>1105</v>
      </c>
      <c r="D379" s="186" t="s">
        <v>308</v>
      </c>
      <c r="E379" s="660" t="s">
        <v>1115</v>
      </c>
      <c r="F379" s="194">
        <v>8</v>
      </c>
      <c r="G379" s="187">
        <v>5240</v>
      </c>
      <c r="H379" s="687"/>
      <c r="I379" s="187"/>
      <c r="J379" s="687"/>
      <c r="K379" s="187"/>
      <c r="L379" s="187"/>
      <c r="M379" s="687"/>
      <c r="N379" s="187"/>
      <c r="O379" s="688">
        <v>0.15</v>
      </c>
      <c r="P379" s="187">
        <f>G379*O379</f>
        <v>786</v>
      </c>
      <c r="Q379" s="187"/>
      <c r="R379" s="187">
        <f t="shared" si="464"/>
        <v>6026</v>
      </c>
      <c r="S379" s="187">
        <v>1</v>
      </c>
      <c r="T379" s="187"/>
      <c r="U379" s="187"/>
      <c r="V379" s="687"/>
      <c r="W379" s="187"/>
      <c r="X379" s="674">
        <v>11</v>
      </c>
      <c r="Y379" s="688">
        <v>0.2</v>
      </c>
      <c r="Z379" s="187">
        <f t="shared" si="465"/>
        <v>1205.2</v>
      </c>
      <c r="AA379" s="187">
        <f>AH379</f>
        <v>768.80000000000018</v>
      </c>
      <c r="AB379" s="187">
        <f t="shared" si="466"/>
        <v>8000</v>
      </c>
      <c r="AC379" s="689">
        <f t="shared" si="467"/>
        <v>5500</v>
      </c>
      <c r="AD379" s="689">
        <f t="shared" si="468"/>
        <v>13500</v>
      </c>
      <c r="AE379" s="190">
        <f t="shared" si="469"/>
        <v>13500</v>
      </c>
      <c r="AF379" s="190">
        <f t="shared" si="470"/>
        <v>5500</v>
      </c>
      <c r="AG379" s="689">
        <f t="shared" si="471"/>
        <v>8000</v>
      </c>
      <c r="AH379" s="190">
        <f t="shared" si="472"/>
        <v>768.80000000000018</v>
      </c>
      <c r="AI379" s="191">
        <f t="shared" si="473"/>
        <v>5240</v>
      </c>
      <c r="AJ379" s="191">
        <f t="shared" si="474"/>
        <v>0</v>
      </c>
      <c r="AK379" s="191">
        <f t="shared" si="475"/>
        <v>6026</v>
      </c>
      <c r="AL379" s="191">
        <f t="shared" si="476"/>
        <v>0</v>
      </c>
      <c r="AM379" s="191">
        <f t="shared" si="477"/>
        <v>786</v>
      </c>
      <c r="AN379" s="191">
        <f t="shared" si="477"/>
        <v>0</v>
      </c>
      <c r="AO379" s="193">
        <f t="shared" si="478"/>
        <v>1205.2</v>
      </c>
      <c r="AP379" s="193">
        <f t="shared" si="479"/>
        <v>0</v>
      </c>
      <c r="AQ379" s="193">
        <f t="shared" si="480"/>
        <v>768.80000000000018</v>
      </c>
      <c r="AR379" s="193">
        <f t="shared" si="481"/>
        <v>0</v>
      </c>
      <c r="AS379" s="193">
        <f t="shared" si="482"/>
        <v>0</v>
      </c>
      <c r="AT379" s="197">
        <f t="shared" si="483"/>
        <v>6026</v>
      </c>
      <c r="AU379" s="197">
        <f t="shared" si="483"/>
        <v>0</v>
      </c>
      <c r="AV379" s="191"/>
      <c r="AW379" s="236">
        <f t="shared" si="484"/>
        <v>6026</v>
      </c>
      <c r="AX379" s="236"/>
    </row>
    <row r="380" spans="2:53" s="69" customFormat="1" ht="58.5">
      <c r="B380" s="660">
        <f>1+B379</f>
        <v>241</v>
      </c>
      <c r="C380" s="185" t="s">
        <v>1105</v>
      </c>
      <c r="D380" s="186" t="s">
        <v>1300</v>
      </c>
      <c r="E380" s="660" t="s">
        <v>1106</v>
      </c>
      <c r="F380" s="660">
        <v>10</v>
      </c>
      <c r="G380" s="187">
        <v>5815</v>
      </c>
      <c r="H380" s="687"/>
      <c r="I380" s="187"/>
      <c r="J380" s="687"/>
      <c r="K380" s="187"/>
      <c r="L380" s="187"/>
      <c r="M380" s="687"/>
      <c r="N380" s="187"/>
      <c r="O380" s="688">
        <v>0.15</v>
      </c>
      <c r="P380" s="187">
        <f>(G380+I380)*O380</f>
        <v>872.25</v>
      </c>
      <c r="Q380" s="187"/>
      <c r="R380" s="187">
        <f t="shared" si="464"/>
        <v>6687.25</v>
      </c>
      <c r="S380" s="187">
        <v>1</v>
      </c>
      <c r="T380" s="187"/>
      <c r="U380" s="187"/>
      <c r="V380" s="687"/>
      <c r="W380" s="187"/>
      <c r="X380" s="674">
        <v>40</v>
      </c>
      <c r="Y380" s="688">
        <v>0.3</v>
      </c>
      <c r="Z380" s="187">
        <f t="shared" si="465"/>
        <v>2006.175</v>
      </c>
      <c r="AA380" s="187"/>
      <c r="AB380" s="187">
        <f t="shared" si="466"/>
        <v>8693.4249999999993</v>
      </c>
      <c r="AC380" s="689">
        <f t="shared" si="467"/>
        <v>4806.5750000000007</v>
      </c>
      <c r="AD380" s="689">
        <f t="shared" si="468"/>
        <v>13500</v>
      </c>
      <c r="AE380" s="190">
        <f t="shared" si="469"/>
        <v>13500</v>
      </c>
      <c r="AF380" s="190">
        <f t="shared" si="470"/>
        <v>4806.5750000000007</v>
      </c>
      <c r="AG380" s="689">
        <f t="shared" si="471"/>
        <v>8000</v>
      </c>
      <c r="AH380" s="190">
        <f t="shared" si="472"/>
        <v>-693.42499999999927</v>
      </c>
      <c r="AI380" s="191">
        <f t="shared" si="473"/>
        <v>5815</v>
      </c>
      <c r="AJ380" s="191">
        <f t="shared" si="474"/>
        <v>0</v>
      </c>
      <c r="AK380" s="191">
        <f t="shared" si="475"/>
        <v>6687.25</v>
      </c>
      <c r="AL380" s="191">
        <f t="shared" si="476"/>
        <v>0</v>
      </c>
      <c r="AM380" s="191">
        <f t="shared" si="477"/>
        <v>872.25</v>
      </c>
      <c r="AN380" s="191">
        <f t="shared" si="477"/>
        <v>0</v>
      </c>
      <c r="AO380" s="193">
        <f t="shared" si="478"/>
        <v>2006.175</v>
      </c>
      <c r="AP380" s="193">
        <f t="shared" si="479"/>
        <v>0</v>
      </c>
      <c r="AQ380" s="193">
        <f t="shared" si="480"/>
        <v>0</v>
      </c>
      <c r="AR380" s="193">
        <f t="shared" si="481"/>
        <v>0</v>
      </c>
      <c r="AS380" s="193">
        <f t="shared" si="482"/>
        <v>0</v>
      </c>
      <c r="AT380" s="197">
        <f t="shared" si="483"/>
        <v>6687.25</v>
      </c>
      <c r="AU380" s="197">
        <f t="shared" si="483"/>
        <v>0</v>
      </c>
      <c r="AV380" s="191"/>
      <c r="AW380" s="236">
        <f t="shared" si="484"/>
        <v>6687.25</v>
      </c>
      <c r="AX380" s="236"/>
    </row>
    <row r="381" spans="2:53" s="69" customFormat="1" ht="58.5">
      <c r="B381" s="660">
        <f>1+B380</f>
        <v>242</v>
      </c>
      <c r="C381" s="185" t="s">
        <v>1105</v>
      </c>
      <c r="D381" s="186" t="s">
        <v>309</v>
      </c>
      <c r="E381" s="660" t="s">
        <v>1107</v>
      </c>
      <c r="F381" s="660">
        <v>10</v>
      </c>
      <c r="G381" s="187">
        <v>5815</v>
      </c>
      <c r="H381" s="687"/>
      <c r="I381" s="187"/>
      <c r="J381" s="687"/>
      <c r="K381" s="187"/>
      <c r="L381" s="187"/>
      <c r="M381" s="687"/>
      <c r="N381" s="187"/>
      <c r="O381" s="688">
        <v>0.15</v>
      </c>
      <c r="P381" s="187">
        <f>(G381+I381)*O381</f>
        <v>872.25</v>
      </c>
      <c r="Q381" s="187"/>
      <c r="R381" s="187">
        <f t="shared" si="464"/>
        <v>6687.25</v>
      </c>
      <c r="S381" s="187">
        <v>1</v>
      </c>
      <c r="T381" s="194"/>
      <c r="U381" s="194"/>
      <c r="V381" s="692"/>
      <c r="W381" s="194"/>
      <c r="X381" s="674">
        <v>36</v>
      </c>
      <c r="Y381" s="688">
        <v>0.3</v>
      </c>
      <c r="Z381" s="187">
        <f t="shared" si="465"/>
        <v>2006.175</v>
      </c>
      <c r="AA381" s="187"/>
      <c r="AB381" s="187">
        <f t="shared" si="466"/>
        <v>8693.4249999999993</v>
      </c>
      <c r="AC381" s="689">
        <f t="shared" si="467"/>
        <v>4806.5750000000007</v>
      </c>
      <c r="AD381" s="689">
        <f t="shared" si="468"/>
        <v>13500</v>
      </c>
      <c r="AE381" s="190">
        <f t="shared" si="469"/>
        <v>13500</v>
      </c>
      <c r="AF381" s="190">
        <f t="shared" si="470"/>
        <v>4806.5750000000007</v>
      </c>
      <c r="AG381" s="689">
        <f t="shared" si="471"/>
        <v>8000</v>
      </c>
      <c r="AH381" s="190">
        <f t="shared" si="472"/>
        <v>-693.42499999999927</v>
      </c>
      <c r="AI381" s="191">
        <f t="shared" si="473"/>
        <v>5815</v>
      </c>
      <c r="AJ381" s="191">
        <f t="shared" si="474"/>
        <v>0</v>
      </c>
      <c r="AK381" s="191">
        <f t="shared" si="475"/>
        <v>6687.25</v>
      </c>
      <c r="AL381" s="191">
        <f t="shared" si="476"/>
        <v>0</v>
      </c>
      <c r="AM381" s="191">
        <f t="shared" si="477"/>
        <v>872.25</v>
      </c>
      <c r="AN381" s="191">
        <f t="shared" si="477"/>
        <v>0</v>
      </c>
      <c r="AO381" s="193">
        <f t="shared" si="478"/>
        <v>2006.175</v>
      </c>
      <c r="AP381" s="193">
        <f t="shared" si="479"/>
        <v>0</v>
      </c>
      <c r="AQ381" s="193">
        <f t="shared" si="480"/>
        <v>0</v>
      </c>
      <c r="AR381" s="193">
        <f t="shared" si="481"/>
        <v>0</v>
      </c>
      <c r="AS381" s="193">
        <f t="shared" si="482"/>
        <v>0</v>
      </c>
      <c r="AT381" s="197">
        <f t="shared" si="483"/>
        <v>6687.25</v>
      </c>
      <c r="AU381" s="197">
        <f t="shared" si="483"/>
        <v>0</v>
      </c>
      <c r="AV381" s="191"/>
      <c r="AW381" s="236">
        <f t="shared" si="484"/>
        <v>6687.25</v>
      </c>
      <c r="AX381" s="236"/>
    </row>
    <row r="382" spans="2:53" s="69" customFormat="1" ht="58.5">
      <c r="B382" s="660">
        <f>1+B381</f>
        <v>243</v>
      </c>
      <c r="C382" s="185" t="s">
        <v>1105</v>
      </c>
      <c r="D382" s="186" t="s">
        <v>1301</v>
      </c>
      <c r="E382" s="660" t="s">
        <v>1108</v>
      </c>
      <c r="F382" s="660">
        <v>10</v>
      </c>
      <c r="G382" s="187">
        <v>5815</v>
      </c>
      <c r="H382" s="687"/>
      <c r="I382" s="187"/>
      <c r="J382" s="687"/>
      <c r="K382" s="187"/>
      <c r="L382" s="187"/>
      <c r="M382" s="687"/>
      <c r="N382" s="187"/>
      <c r="O382" s="688">
        <v>0.15</v>
      </c>
      <c r="P382" s="187">
        <f>(G382+I382)*O382</f>
        <v>872.25</v>
      </c>
      <c r="Q382" s="187"/>
      <c r="R382" s="187">
        <f t="shared" si="464"/>
        <v>6687.25</v>
      </c>
      <c r="S382" s="187">
        <v>1</v>
      </c>
      <c r="T382" s="187"/>
      <c r="U382" s="187"/>
      <c r="V382" s="687"/>
      <c r="W382" s="187"/>
      <c r="X382" s="674">
        <v>34</v>
      </c>
      <c r="Y382" s="688">
        <v>0.3</v>
      </c>
      <c r="Z382" s="187">
        <f t="shared" si="465"/>
        <v>2006.175</v>
      </c>
      <c r="AA382" s="187"/>
      <c r="AB382" s="187">
        <f t="shared" si="466"/>
        <v>8693.4249999999993</v>
      </c>
      <c r="AC382" s="689">
        <f t="shared" si="467"/>
        <v>4806.5750000000007</v>
      </c>
      <c r="AD382" s="689">
        <f t="shared" si="468"/>
        <v>13500</v>
      </c>
      <c r="AE382" s="190">
        <f t="shared" si="469"/>
        <v>13500</v>
      </c>
      <c r="AF382" s="190">
        <f t="shared" si="470"/>
        <v>4806.5750000000007</v>
      </c>
      <c r="AG382" s="689">
        <f t="shared" si="471"/>
        <v>8000</v>
      </c>
      <c r="AH382" s="190">
        <f t="shared" si="472"/>
        <v>-693.42499999999927</v>
      </c>
      <c r="AI382" s="191">
        <f t="shared" si="473"/>
        <v>5815</v>
      </c>
      <c r="AJ382" s="191">
        <f t="shared" si="474"/>
        <v>0</v>
      </c>
      <c r="AK382" s="191">
        <f t="shared" si="475"/>
        <v>6687.25</v>
      </c>
      <c r="AL382" s="191">
        <f t="shared" si="476"/>
        <v>0</v>
      </c>
      <c r="AM382" s="191">
        <f t="shared" si="477"/>
        <v>872.25</v>
      </c>
      <c r="AN382" s="191">
        <f t="shared" si="477"/>
        <v>0</v>
      </c>
      <c r="AO382" s="193">
        <f t="shared" si="478"/>
        <v>2006.175</v>
      </c>
      <c r="AP382" s="193">
        <f t="shared" si="479"/>
        <v>0</v>
      </c>
      <c r="AQ382" s="193">
        <f t="shared" si="480"/>
        <v>0</v>
      </c>
      <c r="AR382" s="193">
        <f t="shared" si="481"/>
        <v>0</v>
      </c>
      <c r="AS382" s="193">
        <f t="shared" si="482"/>
        <v>0</v>
      </c>
      <c r="AT382" s="197">
        <f t="shared" si="483"/>
        <v>6687.25</v>
      </c>
      <c r="AU382" s="197">
        <f t="shared" si="483"/>
        <v>0</v>
      </c>
      <c r="AV382" s="191"/>
      <c r="AW382" s="236">
        <f t="shared" si="484"/>
        <v>6687.25</v>
      </c>
      <c r="AX382" s="236"/>
    </row>
    <row r="383" spans="2:53" s="69" customFormat="1" ht="31.5">
      <c r="B383" s="660"/>
      <c r="C383" s="168" t="s">
        <v>1662</v>
      </c>
      <c r="D383" s="195"/>
      <c r="E383" s="181"/>
      <c r="F383" s="181"/>
      <c r="G383" s="171">
        <f>SUM(G377:G382)</f>
        <v>34027</v>
      </c>
      <c r="H383" s="682"/>
      <c r="I383" s="181"/>
      <c r="J383" s="682"/>
      <c r="K383" s="181"/>
      <c r="L383" s="181"/>
      <c r="M383" s="682"/>
      <c r="N383" s="181"/>
      <c r="O383" s="682"/>
      <c r="P383" s="171">
        <f>SUM(P377:P382)</f>
        <v>5104.05</v>
      </c>
      <c r="Q383" s="181"/>
      <c r="R383" s="171">
        <f>SUM(R377:R382)</f>
        <v>39131.050000000003</v>
      </c>
      <c r="S383" s="171">
        <f>SUM(S377:S382)</f>
        <v>6</v>
      </c>
      <c r="T383" s="171">
        <f>SUM(T377:T382)</f>
        <v>0</v>
      </c>
      <c r="U383" s="171"/>
      <c r="V383" s="693"/>
      <c r="W383" s="171"/>
      <c r="X383" s="693"/>
      <c r="Y383" s="693"/>
      <c r="Z383" s="171">
        <f>SUM(Z377:Z382)</f>
        <v>10501.109999999999</v>
      </c>
      <c r="AA383" s="171">
        <f>SUM(AA377:AA382)</f>
        <v>1141.54</v>
      </c>
      <c r="AB383" s="171">
        <f>SUM(AB377:AB382)</f>
        <v>50773.7</v>
      </c>
      <c r="AC383" s="171">
        <f>SUM(AC377:AC382)</f>
        <v>30226.300000000003</v>
      </c>
      <c r="AD383" s="171">
        <f>SUM(AD377:AD382)</f>
        <v>81000</v>
      </c>
      <c r="AE383" s="171">
        <f t="shared" ref="AE383:AV383" si="485">SUM(AE377:AE382)</f>
        <v>81000</v>
      </c>
      <c r="AF383" s="171">
        <f t="shared" si="485"/>
        <v>30226.300000000003</v>
      </c>
      <c r="AG383" s="171">
        <f t="shared" si="485"/>
        <v>48000</v>
      </c>
      <c r="AH383" s="171">
        <f t="shared" si="485"/>
        <v>-1632.1599999999971</v>
      </c>
      <c r="AI383" s="171">
        <f t="shared" si="485"/>
        <v>34027</v>
      </c>
      <c r="AJ383" s="171">
        <f t="shared" si="485"/>
        <v>0</v>
      </c>
      <c r="AK383" s="171">
        <f t="shared" si="485"/>
        <v>39131.050000000003</v>
      </c>
      <c r="AL383" s="171">
        <f t="shared" si="485"/>
        <v>0</v>
      </c>
      <c r="AM383" s="171">
        <f t="shared" si="485"/>
        <v>5104.05</v>
      </c>
      <c r="AN383" s="171">
        <f t="shared" si="485"/>
        <v>0</v>
      </c>
      <c r="AO383" s="171">
        <f t="shared" si="485"/>
        <v>10501.109999999999</v>
      </c>
      <c r="AP383" s="171">
        <f t="shared" si="485"/>
        <v>0</v>
      </c>
      <c r="AQ383" s="171">
        <f t="shared" si="485"/>
        <v>1141.54</v>
      </c>
      <c r="AR383" s="171">
        <f t="shared" si="485"/>
        <v>0</v>
      </c>
      <c r="AS383" s="171">
        <f t="shared" si="485"/>
        <v>0</v>
      </c>
      <c r="AT383" s="171">
        <f t="shared" si="485"/>
        <v>39131.050000000003</v>
      </c>
      <c r="AU383" s="171">
        <f t="shared" si="485"/>
        <v>0</v>
      </c>
      <c r="AV383" s="171">
        <f t="shared" si="485"/>
        <v>0</v>
      </c>
      <c r="AW383" s="171">
        <f>SUM(AW377:AW382)</f>
        <v>39131.050000000003</v>
      </c>
      <c r="AX383" s="171">
        <f>SUM(AX377:AX382)</f>
        <v>0</v>
      </c>
    </row>
    <row r="384" spans="2:53" s="69" customFormat="1" ht="33">
      <c r="B384" s="660"/>
      <c r="C384" s="208" t="s">
        <v>1774</v>
      </c>
      <c r="D384" s="195"/>
      <c r="E384" s="181"/>
      <c r="F384" s="181"/>
      <c r="G384" s="171"/>
      <c r="H384" s="703"/>
      <c r="I384" s="171"/>
      <c r="J384" s="682"/>
      <c r="K384" s="181"/>
      <c r="L384" s="181"/>
      <c r="M384" s="682"/>
      <c r="N384" s="181"/>
      <c r="O384" s="682"/>
      <c r="P384" s="181"/>
      <c r="Q384" s="181"/>
      <c r="R384" s="171"/>
      <c r="S384" s="171"/>
      <c r="T384" s="171"/>
      <c r="U384" s="171"/>
      <c r="V384" s="693"/>
      <c r="W384" s="171"/>
      <c r="X384" s="693"/>
      <c r="Y384" s="693"/>
      <c r="Z384" s="171"/>
      <c r="AA384" s="171"/>
      <c r="AB384" s="171"/>
      <c r="AC384" s="196"/>
      <c r="AD384" s="196"/>
      <c r="AE384" s="196"/>
      <c r="AF384" s="196"/>
      <c r="AG384" s="196"/>
      <c r="AH384" s="196"/>
      <c r="AI384" s="191"/>
      <c r="AJ384" s="191"/>
      <c r="AK384" s="191"/>
      <c r="AL384" s="191"/>
      <c r="AM384" s="191"/>
      <c r="AN384" s="191"/>
      <c r="AO384" s="193"/>
      <c r="AP384" s="193"/>
      <c r="AQ384" s="193"/>
      <c r="AR384" s="193"/>
      <c r="AS384" s="193"/>
      <c r="AT384" s="197"/>
      <c r="AU384" s="197"/>
      <c r="AV384" s="191"/>
      <c r="AW384" s="236"/>
      <c r="AX384" s="236"/>
    </row>
    <row r="385" spans="2:53" s="69" customFormat="1" ht="94.5">
      <c r="B385" s="660">
        <f>B382+1</f>
        <v>244</v>
      </c>
      <c r="C385" s="185" t="s">
        <v>1138</v>
      </c>
      <c r="D385" s="186"/>
      <c r="E385" s="660" t="s">
        <v>117</v>
      </c>
      <c r="F385" s="660">
        <v>3</v>
      </c>
      <c r="G385" s="187">
        <v>3770</v>
      </c>
      <c r="H385" s="687"/>
      <c r="I385" s="187"/>
      <c r="J385" s="687"/>
      <c r="K385" s="187"/>
      <c r="L385" s="187"/>
      <c r="M385" s="687"/>
      <c r="N385" s="187"/>
      <c r="O385" s="687"/>
      <c r="P385" s="187"/>
      <c r="Q385" s="187"/>
      <c r="R385" s="187">
        <f>G385+I385+K385+L385+N385+P385+Q385</f>
        <v>3770</v>
      </c>
      <c r="S385" s="187">
        <v>1</v>
      </c>
      <c r="T385" s="187"/>
      <c r="U385" s="187"/>
      <c r="V385" s="688">
        <v>0.1</v>
      </c>
      <c r="W385" s="187">
        <f>R385*V385</f>
        <v>377</v>
      </c>
      <c r="X385" s="674"/>
      <c r="Y385" s="688"/>
      <c r="Z385" s="187"/>
      <c r="AA385" s="187">
        <f>AH385</f>
        <v>4230</v>
      </c>
      <c r="AB385" s="187">
        <f>(R385+Z385+U385+W385)*S385+AA385</f>
        <v>8377</v>
      </c>
      <c r="AC385" s="689">
        <f>AF385</f>
        <v>0</v>
      </c>
      <c r="AD385" s="689">
        <f>AB385+AC385</f>
        <v>8377</v>
      </c>
      <c r="AE385" s="190">
        <f>AB385</f>
        <v>8377</v>
      </c>
      <c r="AF385" s="190">
        <f>AE385-AB385</f>
        <v>0</v>
      </c>
      <c r="AG385" s="689">
        <f>8000*S385</f>
        <v>8000</v>
      </c>
      <c r="AH385" s="190">
        <f>AG385-(R385*S385)</f>
        <v>4230</v>
      </c>
      <c r="AI385" s="191">
        <f>G385*S385</f>
        <v>3770</v>
      </c>
      <c r="AJ385" s="191">
        <f>G385*T385</f>
        <v>0</v>
      </c>
      <c r="AK385" s="191">
        <f>R385*S385</f>
        <v>3770</v>
      </c>
      <c r="AL385" s="191">
        <f>R385*T385</f>
        <v>0</v>
      </c>
      <c r="AM385" s="191">
        <f>AK385-AI385</f>
        <v>0</v>
      </c>
      <c r="AN385" s="191">
        <f>AL385-AJ385</f>
        <v>0</v>
      </c>
      <c r="AO385" s="193">
        <f>Z385*S385</f>
        <v>0</v>
      </c>
      <c r="AP385" s="193">
        <f>Z385*T385</f>
        <v>0</v>
      </c>
      <c r="AQ385" s="193">
        <f>AA385</f>
        <v>4230</v>
      </c>
      <c r="AR385" s="193">
        <f>W385*S385</f>
        <v>377</v>
      </c>
      <c r="AS385" s="193">
        <f>W385*T385</f>
        <v>0</v>
      </c>
      <c r="AT385" s="197">
        <f>AK385</f>
        <v>3770</v>
      </c>
      <c r="AU385" s="197">
        <f>AL385</f>
        <v>0</v>
      </c>
      <c r="AV385" s="191"/>
      <c r="AW385" s="236">
        <f>R385*S385</f>
        <v>3770</v>
      </c>
      <c r="AX385" s="236"/>
    </row>
    <row r="386" spans="2:53" s="69" customFormat="1" ht="31.5">
      <c r="B386" s="660"/>
      <c r="C386" s="168" t="s">
        <v>1662</v>
      </c>
      <c r="D386" s="195"/>
      <c r="E386" s="181"/>
      <c r="F386" s="181"/>
      <c r="G386" s="171">
        <f>SUM(G385)</f>
        <v>3770</v>
      </c>
      <c r="H386" s="693"/>
      <c r="I386" s="171"/>
      <c r="J386" s="693"/>
      <c r="K386" s="171"/>
      <c r="L386" s="171"/>
      <c r="M386" s="693"/>
      <c r="N386" s="171"/>
      <c r="O386" s="693"/>
      <c r="P386" s="171"/>
      <c r="Q386" s="171"/>
      <c r="R386" s="171">
        <f t="shared" ref="R386:AX386" si="486">SUM(R385)</f>
        <v>3770</v>
      </c>
      <c r="S386" s="171">
        <f t="shared" si="486"/>
        <v>1</v>
      </c>
      <c r="T386" s="171">
        <f t="shared" si="486"/>
        <v>0</v>
      </c>
      <c r="U386" s="171"/>
      <c r="V386" s="693"/>
      <c r="W386" s="171">
        <f t="shared" si="486"/>
        <v>377</v>
      </c>
      <c r="X386" s="693"/>
      <c r="Y386" s="693"/>
      <c r="Z386" s="171">
        <f t="shared" si="486"/>
        <v>0</v>
      </c>
      <c r="AA386" s="171">
        <f>SUM(AA385)</f>
        <v>4230</v>
      </c>
      <c r="AB386" s="171">
        <f t="shared" si="486"/>
        <v>8377</v>
      </c>
      <c r="AC386" s="171">
        <f t="shared" si="486"/>
        <v>0</v>
      </c>
      <c r="AD386" s="171">
        <f>SUM(AD385)</f>
        <v>8377</v>
      </c>
      <c r="AE386" s="171">
        <f t="shared" si="486"/>
        <v>8377</v>
      </c>
      <c r="AF386" s="171">
        <f t="shared" si="486"/>
        <v>0</v>
      </c>
      <c r="AG386" s="171">
        <f>SUM(AG385)</f>
        <v>8000</v>
      </c>
      <c r="AH386" s="171">
        <f t="shared" si="486"/>
        <v>4230</v>
      </c>
      <c r="AI386" s="171">
        <f t="shared" si="486"/>
        <v>3770</v>
      </c>
      <c r="AJ386" s="171">
        <f t="shared" si="486"/>
        <v>0</v>
      </c>
      <c r="AK386" s="171">
        <f t="shared" si="486"/>
        <v>3770</v>
      </c>
      <c r="AL386" s="171">
        <f t="shared" si="486"/>
        <v>0</v>
      </c>
      <c r="AM386" s="171">
        <f t="shared" si="486"/>
        <v>0</v>
      </c>
      <c r="AN386" s="171">
        <f t="shared" si="486"/>
        <v>0</v>
      </c>
      <c r="AO386" s="171">
        <f t="shared" si="486"/>
        <v>0</v>
      </c>
      <c r="AP386" s="171">
        <f t="shared" si="486"/>
        <v>0</v>
      </c>
      <c r="AQ386" s="171">
        <f t="shared" si="486"/>
        <v>4230</v>
      </c>
      <c r="AR386" s="171">
        <f t="shared" si="486"/>
        <v>377</v>
      </c>
      <c r="AS386" s="171">
        <f t="shared" si="486"/>
        <v>0</v>
      </c>
      <c r="AT386" s="171">
        <f t="shared" si="486"/>
        <v>3770</v>
      </c>
      <c r="AU386" s="171">
        <f t="shared" si="486"/>
        <v>0</v>
      </c>
      <c r="AV386" s="171">
        <f t="shared" si="486"/>
        <v>0</v>
      </c>
      <c r="AW386" s="171">
        <f t="shared" si="486"/>
        <v>3770</v>
      </c>
      <c r="AX386" s="171">
        <f t="shared" si="486"/>
        <v>0</v>
      </c>
    </row>
    <row r="387" spans="2:53" s="69" customFormat="1" ht="31.5">
      <c r="B387" s="660"/>
      <c r="C387" s="168" t="s">
        <v>1223</v>
      </c>
      <c r="D387" s="195"/>
      <c r="E387" s="181"/>
      <c r="F387" s="181"/>
      <c r="G387" s="171">
        <f>G375+G383+G386</f>
        <v>52303</v>
      </c>
      <c r="H387" s="693"/>
      <c r="I387" s="171">
        <f t="shared" ref="I387:AX387" si="487">I375+I383+I386</f>
        <v>725.30000000000007</v>
      </c>
      <c r="J387" s="693"/>
      <c r="K387" s="171"/>
      <c r="L387" s="171"/>
      <c r="M387" s="693"/>
      <c r="N387" s="171"/>
      <c r="O387" s="693"/>
      <c r="P387" s="171">
        <f t="shared" si="487"/>
        <v>7388.7449999999999</v>
      </c>
      <c r="Q387" s="171"/>
      <c r="R387" s="171">
        <f t="shared" si="487"/>
        <v>60417.045000000006</v>
      </c>
      <c r="S387" s="171">
        <f>S375+S383+S386</f>
        <v>9</v>
      </c>
      <c r="T387" s="171">
        <f t="shared" si="487"/>
        <v>0</v>
      </c>
      <c r="U387" s="171"/>
      <c r="V387" s="693"/>
      <c r="W387" s="171">
        <f t="shared" si="487"/>
        <v>377</v>
      </c>
      <c r="X387" s="693"/>
      <c r="Y387" s="693"/>
      <c r="Z387" s="171">
        <f>Z375+Z383+Z386</f>
        <v>15755.9085</v>
      </c>
      <c r="AA387" s="171">
        <f>AA375+AA383+AA386</f>
        <v>5371.54</v>
      </c>
      <c r="AB387" s="171">
        <f t="shared" si="487"/>
        <v>81921.493499999997</v>
      </c>
      <c r="AC387" s="171">
        <f t="shared" si="487"/>
        <v>47455.506500000003</v>
      </c>
      <c r="AD387" s="171">
        <f>AD375+AD383+AD386</f>
        <v>129377</v>
      </c>
      <c r="AE387" s="171">
        <f t="shared" si="487"/>
        <v>129377</v>
      </c>
      <c r="AF387" s="171">
        <f t="shared" si="487"/>
        <v>47455.506500000003</v>
      </c>
      <c r="AG387" s="171">
        <f>AG375+AG383+AG386</f>
        <v>72000</v>
      </c>
      <c r="AH387" s="171">
        <f t="shared" si="487"/>
        <v>-4172.953499999996</v>
      </c>
      <c r="AI387" s="171">
        <f t="shared" si="487"/>
        <v>52303</v>
      </c>
      <c r="AJ387" s="171">
        <f t="shared" si="487"/>
        <v>0</v>
      </c>
      <c r="AK387" s="171">
        <f t="shared" si="487"/>
        <v>60417.045000000006</v>
      </c>
      <c r="AL387" s="171">
        <f t="shared" si="487"/>
        <v>0</v>
      </c>
      <c r="AM387" s="171">
        <f t="shared" si="487"/>
        <v>8114.045000000001</v>
      </c>
      <c r="AN387" s="171">
        <f t="shared" si="487"/>
        <v>0</v>
      </c>
      <c r="AO387" s="171">
        <f t="shared" si="487"/>
        <v>15755.9085</v>
      </c>
      <c r="AP387" s="171">
        <f t="shared" si="487"/>
        <v>0</v>
      </c>
      <c r="AQ387" s="171">
        <f t="shared" si="487"/>
        <v>5371.54</v>
      </c>
      <c r="AR387" s="171">
        <f t="shared" si="487"/>
        <v>377</v>
      </c>
      <c r="AS387" s="171">
        <f t="shared" si="487"/>
        <v>0</v>
      </c>
      <c r="AT387" s="171">
        <f t="shared" si="487"/>
        <v>60417.045000000006</v>
      </c>
      <c r="AU387" s="171">
        <f t="shared" si="487"/>
        <v>0</v>
      </c>
      <c r="AV387" s="171">
        <f t="shared" si="487"/>
        <v>0</v>
      </c>
      <c r="AW387" s="171">
        <f t="shared" si="487"/>
        <v>60417.045000000006</v>
      </c>
      <c r="AX387" s="171">
        <f t="shared" si="487"/>
        <v>0</v>
      </c>
    </row>
    <row r="388" spans="2:53" s="69" customFormat="1" ht="33">
      <c r="B388" s="660"/>
      <c r="C388" s="179" t="s">
        <v>1782</v>
      </c>
      <c r="D388" s="180"/>
      <c r="E388" s="181"/>
      <c r="F388" s="181"/>
      <c r="G388" s="181"/>
      <c r="H388" s="682"/>
      <c r="I388" s="181"/>
      <c r="J388" s="682"/>
      <c r="K388" s="181"/>
      <c r="L388" s="181"/>
      <c r="M388" s="682"/>
      <c r="N388" s="181"/>
      <c r="O388" s="682"/>
      <c r="P388" s="181"/>
      <c r="Q388" s="181"/>
      <c r="R388" s="181"/>
      <c r="S388" s="181"/>
      <c r="T388" s="181"/>
      <c r="U388" s="181"/>
      <c r="V388" s="683"/>
      <c r="W388" s="181"/>
      <c r="X388" s="683"/>
      <c r="Y388" s="683"/>
      <c r="Z388" s="181"/>
      <c r="AA388" s="181"/>
      <c r="AB388" s="181"/>
      <c r="AC388" s="183"/>
      <c r="AD388" s="183"/>
      <c r="AE388" s="183"/>
      <c r="AF388" s="183"/>
      <c r="AG388" s="183"/>
      <c r="AH388" s="183"/>
      <c r="AI388" s="191"/>
      <c r="AJ388" s="191"/>
      <c r="AK388" s="191"/>
      <c r="AL388" s="191"/>
      <c r="AM388" s="191"/>
      <c r="AN388" s="191"/>
      <c r="AO388" s="193"/>
      <c r="AP388" s="193"/>
      <c r="AQ388" s="193"/>
      <c r="AR388" s="193"/>
      <c r="AS388" s="193"/>
      <c r="AT388" s="197"/>
      <c r="AU388" s="197"/>
      <c r="AV388" s="191"/>
      <c r="AW388" s="236"/>
      <c r="AX388" s="236"/>
    </row>
    <row r="389" spans="2:53" s="69" customFormat="1" ht="33">
      <c r="B389" s="660"/>
      <c r="C389" s="208" t="s">
        <v>1309</v>
      </c>
      <c r="D389" s="205"/>
      <c r="E389" s="206"/>
      <c r="F389" s="206"/>
      <c r="G389" s="206"/>
      <c r="H389" s="696"/>
      <c r="I389" s="206"/>
      <c r="J389" s="696"/>
      <c r="K389" s="206"/>
      <c r="L389" s="206"/>
      <c r="M389" s="696"/>
      <c r="N389" s="206"/>
      <c r="O389" s="696"/>
      <c r="P389" s="206"/>
      <c r="Q389" s="206"/>
      <c r="R389" s="206"/>
      <c r="S389" s="206"/>
      <c r="T389" s="206"/>
      <c r="U389" s="206"/>
      <c r="V389" s="697"/>
      <c r="W389" s="206"/>
      <c r="X389" s="697"/>
      <c r="Y389" s="697"/>
      <c r="Z389" s="206"/>
      <c r="AA389" s="206"/>
      <c r="AB389" s="206"/>
      <c r="AC389" s="207"/>
      <c r="AD389" s="207"/>
      <c r="AE389" s="207"/>
      <c r="AF389" s="207"/>
      <c r="AG389" s="207"/>
      <c r="AH389" s="207"/>
      <c r="AI389" s="191"/>
      <c r="AJ389" s="191"/>
      <c r="AK389" s="191"/>
      <c r="AL389" s="191"/>
      <c r="AM389" s="191"/>
      <c r="AN389" s="191"/>
      <c r="AO389" s="193"/>
      <c r="AP389" s="193"/>
      <c r="AQ389" s="193"/>
      <c r="AR389" s="193"/>
      <c r="AS389" s="193"/>
      <c r="AT389" s="197"/>
      <c r="AU389" s="197"/>
      <c r="AV389" s="191"/>
      <c r="AW389" s="236"/>
      <c r="AX389" s="236"/>
      <c r="BA389" s="70"/>
    </row>
    <row r="390" spans="2:53" s="69" customFormat="1" ht="58.5">
      <c r="B390" s="660">
        <f>B385+1</f>
        <v>245</v>
      </c>
      <c r="C390" s="185" t="s">
        <v>1024</v>
      </c>
      <c r="D390" s="186" t="s">
        <v>1025</v>
      </c>
      <c r="E390" s="660" t="s">
        <v>1026</v>
      </c>
      <c r="F390" s="660">
        <v>12</v>
      </c>
      <c r="G390" s="187">
        <v>6773</v>
      </c>
      <c r="H390" s="674"/>
      <c r="I390" s="660"/>
      <c r="J390" s="674"/>
      <c r="K390" s="660"/>
      <c r="L390" s="660"/>
      <c r="M390" s="674"/>
      <c r="N390" s="210"/>
      <c r="O390" s="688">
        <v>0.15</v>
      </c>
      <c r="P390" s="187">
        <f>G390*O390</f>
        <v>1015.9499999999999</v>
      </c>
      <c r="Q390" s="189"/>
      <c r="R390" s="187">
        <f>G390+I390+K390+L390+N390+P390+Q390</f>
        <v>7788.95</v>
      </c>
      <c r="S390" s="187"/>
      <c r="T390" s="187">
        <v>0.5</v>
      </c>
      <c r="U390" s="660"/>
      <c r="V390" s="674"/>
      <c r="W390" s="660"/>
      <c r="X390" s="674">
        <v>14</v>
      </c>
      <c r="Y390" s="688">
        <v>0.2</v>
      </c>
      <c r="Z390" s="187">
        <f>R390*Y390</f>
        <v>1557.79</v>
      </c>
      <c r="AA390" s="187"/>
      <c r="AB390" s="187">
        <f>(R390+Z390)*T390+AA390</f>
        <v>4673.37</v>
      </c>
      <c r="AC390" s="689">
        <f>AF390</f>
        <v>5326.63</v>
      </c>
      <c r="AD390" s="689">
        <f>AB390+AC390</f>
        <v>10000</v>
      </c>
      <c r="AE390" s="190">
        <f>20000*T390</f>
        <v>10000</v>
      </c>
      <c r="AF390" s="190">
        <f>AE390-AB390</f>
        <v>5326.63</v>
      </c>
      <c r="AG390" s="689">
        <f>8000*T390</f>
        <v>4000</v>
      </c>
      <c r="AH390" s="190">
        <f>AG390-(R390+Z390)*T390</f>
        <v>-673.36999999999989</v>
      </c>
      <c r="AI390" s="191">
        <f>G390*S390</f>
        <v>0</v>
      </c>
      <c r="AJ390" s="191">
        <f>G390*T390</f>
        <v>3386.5</v>
      </c>
      <c r="AK390" s="191">
        <f>R390*S390</f>
        <v>0</v>
      </c>
      <c r="AL390" s="191">
        <f>R390*T390</f>
        <v>3894.4749999999999</v>
      </c>
      <c r="AM390" s="191">
        <f>AK390-AI390</f>
        <v>0</v>
      </c>
      <c r="AN390" s="191">
        <f>AL390-AJ390</f>
        <v>507.97499999999991</v>
      </c>
      <c r="AO390" s="193">
        <f>Z390*S390</f>
        <v>0</v>
      </c>
      <c r="AP390" s="193">
        <f>Z390*T390</f>
        <v>778.89499999999998</v>
      </c>
      <c r="AQ390" s="193">
        <f>AA390</f>
        <v>0</v>
      </c>
      <c r="AR390" s="193">
        <f>W390*S390</f>
        <v>0</v>
      </c>
      <c r="AS390" s="193">
        <f>W390*T390</f>
        <v>0</v>
      </c>
      <c r="AT390" s="197">
        <f>AK390</f>
        <v>0</v>
      </c>
      <c r="AU390" s="197">
        <f>AL390</f>
        <v>3894.4749999999999</v>
      </c>
      <c r="AV390" s="191"/>
      <c r="AW390" s="236">
        <f>R390*T390</f>
        <v>3894.4749999999999</v>
      </c>
      <c r="AX390" s="236"/>
    </row>
    <row r="391" spans="2:53" s="69" customFormat="1" ht="33">
      <c r="B391" s="660">
        <f>B390+1</f>
        <v>246</v>
      </c>
      <c r="C391" s="185" t="s">
        <v>1024</v>
      </c>
      <c r="D391" s="186"/>
      <c r="E391" s="660" t="s">
        <v>1667</v>
      </c>
      <c r="F391" s="660">
        <v>12</v>
      </c>
      <c r="G391" s="187">
        <v>6773</v>
      </c>
      <c r="H391" s="674"/>
      <c r="I391" s="660"/>
      <c r="J391" s="674"/>
      <c r="K391" s="660"/>
      <c r="L391" s="660"/>
      <c r="M391" s="674"/>
      <c r="N391" s="210"/>
      <c r="O391" s="688">
        <v>0.15</v>
      </c>
      <c r="P391" s="187">
        <f>G391*O391</f>
        <v>1015.9499999999999</v>
      </c>
      <c r="Q391" s="189"/>
      <c r="R391" s="187">
        <f>G391+I391+K391+L391+N391+P391+Q391</f>
        <v>7788.95</v>
      </c>
      <c r="S391" s="187">
        <v>0.5</v>
      </c>
      <c r="T391" s="187"/>
      <c r="U391" s="660"/>
      <c r="V391" s="674"/>
      <c r="W391" s="660"/>
      <c r="X391" s="674"/>
      <c r="Y391" s="688"/>
      <c r="Z391" s="187"/>
      <c r="AA391" s="187">
        <f>AH391</f>
        <v>105.52500000000009</v>
      </c>
      <c r="AB391" s="187">
        <f>(R391+Z391)*S391+AA391</f>
        <v>4000</v>
      </c>
      <c r="AC391" s="689">
        <f>AF391</f>
        <v>6000</v>
      </c>
      <c r="AD391" s="689">
        <f>AB391+AC391</f>
        <v>10000</v>
      </c>
      <c r="AE391" s="190">
        <f>20000*S391</f>
        <v>10000</v>
      </c>
      <c r="AF391" s="190">
        <f>AE391-AB391</f>
        <v>6000</v>
      </c>
      <c r="AG391" s="689">
        <f>8000*S391</f>
        <v>4000</v>
      </c>
      <c r="AH391" s="190">
        <f>AG391-(R391+Z391)*S391</f>
        <v>105.52500000000009</v>
      </c>
      <c r="AI391" s="191"/>
      <c r="AJ391" s="191"/>
      <c r="AK391" s="191"/>
      <c r="AL391" s="191"/>
      <c r="AM391" s="191"/>
      <c r="AN391" s="191"/>
      <c r="AO391" s="193"/>
      <c r="AP391" s="193"/>
      <c r="AQ391" s="193"/>
      <c r="AR391" s="193"/>
      <c r="AS391" s="193"/>
      <c r="AT391" s="197"/>
      <c r="AU391" s="197"/>
      <c r="AV391" s="191"/>
      <c r="AW391" s="236">
        <f>R391*S391</f>
        <v>3894.4749999999999</v>
      </c>
      <c r="AX391" s="236"/>
    </row>
    <row r="392" spans="2:53" s="69" customFormat="1" ht="31.5">
      <c r="B392" s="660"/>
      <c r="C392" s="168" t="s">
        <v>1662</v>
      </c>
      <c r="D392" s="195"/>
      <c r="E392" s="181"/>
      <c r="F392" s="181"/>
      <c r="G392" s="171">
        <f>SUM(G390:G391)</f>
        <v>13546</v>
      </c>
      <c r="H392" s="703"/>
      <c r="I392" s="171"/>
      <c r="J392" s="703"/>
      <c r="K392" s="171"/>
      <c r="L392" s="171"/>
      <c r="M392" s="703"/>
      <c r="N392" s="171"/>
      <c r="O392" s="703"/>
      <c r="P392" s="171">
        <f>SUM(P390:P391)</f>
        <v>2031.8999999999999</v>
      </c>
      <c r="Q392" s="171"/>
      <c r="R392" s="171">
        <f>SUM(R390:R391)</f>
        <v>15577.9</v>
      </c>
      <c r="S392" s="171">
        <f>SUM(S390:S391)</f>
        <v>0.5</v>
      </c>
      <c r="T392" s="171">
        <f>SUM(T390:T391)</f>
        <v>0.5</v>
      </c>
      <c r="U392" s="171"/>
      <c r="V392" s="693"/>
      <c r="W392" s="171"/>
      <c r="X392" s="693"/>
      <c r="Y392" s="693"/>
      <c r="Z392" s="171">
        <f>SUM(Z390:Z391)</f>
        <v>1557.79</v>
      </c>
      <c r="AA392" s="171">
        <f>SUM(AA390:AA391)</f>
        <v>105.52500000000009</v>
      </c>
      <c r="AB392" s="171">
        <f>SUM(AB390:AB391)</f>
        <v>8673.369999999999</v>
      </c>
      <c r="AC392" s="171">
        <f t="shared" ref="AC392:AX392" si="488">SUM(AC390:AC390)</f>
        <v>5326.63</v>
      </c>
      <c r="AD392" s="171">
        <f t="shared" si="488"/>
        <v>10000</v>
      </c>
      <c r="AE392" s="171">
        <f t="shared" si="488"/>
        <v>10000</v>
      </c>
      <c r="AF392" s="171">
        <f t="shared" si="488"/>
        <v>5326.63</v>
      </c>
      <c r="AG392" s="171">
        <f>SUM(AG390:AG390)</f>
        <v>4000</v>
      </c>
      <c r="AH392" s="171">
        <f t="shared" si="488"/>
        <v>-673.36999999999989</v>
      </c>
      <c r="AI392" s="171">
        <f t="shared" si="488"/>
        <v>0</v>
      </c>
      <c r="AJ392" s="171">
        <f t="shared" si="488"/>
        <v>3386.5</v>
      </c>
      <c r="AK392" s="171">
        <f t="shared" si="488"/>
        <v>0</v>
      </c>
      <c r="AL392" s="171">
        <f t="shared" si="488"/>
        <v>3894.4749999999999</v>
      </c>
      <c r="AM392" s="171">
        <f t="shared" si="488"/>
        <v>0</v>
      </c>
      <c r="AN392" s="171">
        <f t="shared" si="488"/>
        <v>507.97499999999991</v>
      </c>
      <c r="AO392" s="171">
        <f t="shared" si="488"/>
        <v>0</v>
      </c>
      <c r="AP392" s="171">
        <f t="shared" si="488"/>
        <v>778.89499999999998</v>
      </c>
      <c r="AQ392" s="171">
        <f t="shared" si="488"/>
        <v>0</v>
      </c>
      <c r="AR392" s="171">
        <f t="shared" si="488"/>
        <v>0</v>
      </c>
      <c r="AS392" s="171">
        <f t="shared" si="488"/>
        <v>0</v>
      </c>
      <c r="AT392" s="171">
        <f t="shared" si="488"/>
        <v>0</v>
      </c>
      <c r="AU392" s="171">
        <f t="shared" si="488"/>
        <v>3894.4749999999999</v>
      </c>
      <c r="AV392" s="171">
        <f t="shared" si="488"/>
        <v>0</v>
      </c>
      <c r="AW392" s="171">
        <f t="shared" si="488"/>
        <v>3894.4749999999999</v>
      </c>
      <c r="AX392" s="171">
        <f t="shared" si="488"/>
        <v>0</v>
      </c>
    </row>
    <row r="393" spans="2:53" s="69" customFormat="1" ht="33">
      <c r="B393" s="660"/>
      <c r="C393" s="208" t="s">
        <v>1508</v>
      </c>
      <c r="D393" s="180"/>
      <c r="E393" s="181"/>
      <c r="F393" s="181"/>
      <c r="G393" s="181"/>
      <c r="H393" s="682"/>
      <c r="I393" s="181"/>
      <c r="J393" s="682"/>
      <c r="K393" s="181"/>
      <c r="L393" s="181"/>
      <c r="M393" s="682"/>
      <c r="N393" s="181"/>
      <c r="O393" s="682"/>
      <c r="P393" s="171"/>
      <c r="Q393" s="181"/>
      <c r="R393" s="181"/>
      <c r="S393" s="181"/>
      <c r="T393" s="181"/>
      <c r="U393" s="181"/>
      <c r="V393" s="683"/>
      <c r="W393" s="181"/>
      <c r="X393" s="683"/>
      <c r="Y393" s="683"/>
      <c r="Z393" s="181"/>
      <c r="AA393" s="181"/>
      <c r="AB393" s="181"/>
      <c r="AC393" s="183"/>
      <c r="AD393" s="183"/>
      <c r="AE393" s="183"/>
      <c r="AF393" s="183"/>
      <c r="AG393" s="183"/>
      <c r="AH393" s="183"/>
      <c r="AI393" s="191"/>
      <c r="AJ393" s="191"/>
      <c r="AK393" s="191"/>
      <c r="AL393" s="191"/>
      <c r="AM393" s="191"/>
      <c r="AN393" s="191"/>
      <c r="AO393" s="193"/>
      <c r="AP393" s="193"/>
      <c r="AQ393" s="193"/>
      <c r="AR393" s="193"/>
      <c r="AS393" s="193"/>
      <c r="AT393" s="197"/>
      <c r="AU393" s="197"/>
      <c r="AV393" s="191"/>
      <c r="AW393" s="236"/>
      <c r="AX393" s="236"/>
    </row>
    <row r="394" spans="2:53" s="69" customFormat="1" ht="33">
      <c r="B394" s="660">
        <f>B391+1</f>
        <v>247</v>
      </c>
      <c r="C394" s="185" t="s">
        <v>1116</v>
      </c>
      <c r="D394" s="186" t="s">
        <v>1674</v>
      </c>
      <c r="E394" s="660" t="s">
        <v>1117</v>
      </c>
      <c r="F394" s="194">
        <v>6</v>
      </c>
      <c r="G394" s="187">
        <v>4633</v>
      </c>
      <c r="H394" s="687"/>
      <c r="I394" s="187"/>
      <c r="J394" s="687"/>
      <c r="K394" s="187"/>
      <c r="L394" s="187"/>
      <c r="M394" s="687"/>
      <c r="N394" s="187"/>
      <c r="O394" s="688">
        <v>0.15</v>
      </c>
      <c r="P394" s="187">
        <f>G394*O394</f>
        <v>694.94999999999993</v>
      </c>
      <c r="Q394" s="187"/>
      <c r="R394" s="187">
        <f>G394+I394+K394+L394+N394+P394+Q394</f>
        <v>5327.95</v>
      </c>
      <c r="S394" s="187">
        <v>1</v>
      </c>
      <c r="T394" s="194"/>
      <c r="U394" s="194"/>
      <c r="V394" s="692"/>
      <c r="W394" s="194"/>
      <c r="X394" s="674">
        <v>24</v>
      </c>
      <c r="Y394" s="688">
        <v>0.3</v>
      </c>
      <c r="Z394" s="187">
        <f>R394*Y394</f>
        <v>1598.385</v>
      </c>
      <c r="AA394" s="187">
        <f>AH394</f>
        <v>1073.665</v>
      </c>
      <c r="AB394" s="187">
        <f>(R394+Z394)*S394+AA394</f>
        <v>8000</v>
      </c>
      <c r="AC394" s="689">
        <f>AF394</f>
        <v>5500</v>
      </c>
      <c r="AD394" s="689">
        <f>AB394+AC394</f>
        <v>13500</v>
      </c>
      <c r="AE394" s="190">
        <f>13500*S394</f>
        <v>13500</v>
      </c>
      <c r="AF394" s="190">
        <f>AE394-AB394</f>
        <v>5500</v>
      </c>
      <c r="AG394" s="689">
        <f>8000*S394</f>
        <v>8000</v>
      </c>
      <c r="AH394" s="190">
        <f>AG394-(R394+Z394)*S394</f>
        <v>1073.665</v>
      </c>
      <c r="AI394" s="191">
        <f>G394*S394</f>
        <v>4633</v>
      </c>
      <c r="AJ394" s="191">
        <f>G394*T394</f>
        <v>0</v>
      </c>
      <c r="AK394" s="191">
        <f>R394*S394</f>
        <v>5327.95</v>
      </c>
      <c r="AL394" s="191">
        <f>R394*T394</f>
        <v>0</v>
      </c>
      <c r="AM394" s="191">
        <f t="shared" ref="AM394:AN397" si="489">AK394-AI394</f>
        <v>694.94999999999982</v>
      </c>
      <c r="AN394" s="191">
        <f t="shared" si="489"/>
        <v>0</v>
      </c>
      <c r="AO394" s="193">
        <f>Z394*S394</f>
        <v>1598.385</v>
      </c>
      <c r="AP394" s="193">
        <f>Z394*T394</f>
        <v>0</v>
      </c>
      <c r="AQ394" s="193">
        <f>AA394</f>
        <v>1073.665</v>
      </c>
      <c r="AR394" s="193">
        <f>W394*S394</f>
        <v>0</v>
      </c>
      <c r="AS394" s="193">
        <f>W394*T394</f>
        <v>0</v>
      </c>
      <c r="AT394" s="197">
        <f t="shared" ref="AT394:AU397" si="490">AK394</f>
        <v>5327.95</v>
      </c>
      <c r="AU394" s="197">
        <f t="shared" si="490"/>
        <v>0</v>
      </c>
      <c r="AV394" s="191"/>
      <c r="AW394" s="236">
        <f>R394*S394</f>
        <v>5327.95</v>
      </c>
      <c r="AX394" s="236"/>
    </row>
    <row r="395" spans="2:53" s="69" customFormat="1" ht="58.5">
      <c r="B395" s="660">
        <f>1+B394</f>
        <v>248</v>
      </c>
      <c r="C395" s="185" t="s">
        <v>1116</v>
      </c>
      <c r="D395" s="186" t="s">
        <v>310</v>
      </c>
      <c r="E395" s="660" t="s">
        <v>1118</v>
      </c>
      <c r="F395" s="194">
        <v>9</v>
      </c>
      <c r="G395" s="187">
        <v>5527</v>
      </c>
      <c r="H395" s="687"/>
      <c r="I395" s="187"/>
      <c r="J395" s="687"/>
      <c r="K395" s="187"/>
      <c r="L395" s="187"/>
      <c r="M395" s="687"/>
      <c r="N395" s="187"/>
      <c r="O395" s="688">
        <v>0.15</v>
      </c>
      <c r="P395" s="187">
        <f>G395*O395</f>
        <v>829.05</v>
      </c>
      <c r="Q395" s="187"/>
      <c r="R395" s="187">
        <f>G395+I395+K395+L395+N395+P395+Q395</f>
        <v>6356.05</v>
      </c>
      <c r="S395" s="187">
        <v>1</v>
      </c>
      <c r="T395" s="187"/>
      <c r="U395" s="187"/>
      <c r="V395" s="687"/>
      <c r="W395" s="187"/>
      <c r="X395" s="674">
        <v>45</v>
      </c>
      <c r="Y395" s="688">
        <v>0.3</v>
      </c>
      <c r="Z395" s="187">
        <f>R395*Y395</f>
        <v>1906.8150000000001</v>
      </c>
      <c r="AA395" s="187"/>
      <c r="AB395" s="187">
        <f>(R395+Z395)*S395+AA395</f>
        <v>8262.8649999999998</v>
      </c>
      <c r="AC395" s="689">
        <f>AF395</f>
        <v>5237.1350000000002</v>
      </c>
      <c r="AD395" s="689">
        <f>AB395+AC395</f>
        <v>13500</v>
      </c>
      <c r="AE395" s="190">
        <f>13500*S395</f>
        <v>13500</v>
      </c>
      <c r="AF395" s="190">
        <f>AE395-AB395</f>
        <v>5237.1350000000002</v>
      </c>
      <c r="AG395" s="689">
        <f>8000*S395</f>
        <v>8000</v>
      </c>
      <c r="AH395" s="190">
        <f>AG395-(R395+Z395)*S395</f>
        <v>-262.86499999999978</v>
      </c>
      <c r="AI395" s="191">
        <f>G395*S395</f>
        <v>5527</v>
      </c>
      <c r="AJ395" s="191">
        <f>G395*T395</f>
        <v>0</v>
      </c>
      <c r="AK395" s="191">
        <f>R395*S395</f>
        <v>6356.05</v>
      </c>
      <c r="AL395" s="191">
        <f>R395*T395</f>
        <v>0</v>
      </c>
      <c r="AM395" s="191">
        <f t="shared" si="489"/>
        <v>829.05000000000018</v>
      </c>
      <c r="AN395" s="191">
        <f t="shared" si="489"/>
        <v>0</v>
      </c>
      <c r="AO395" s="193">
        <f>Z395*S395</f>
        <v>1906.8150000000001</v>
      </c>
      <c r="AP395" s="193">
        <f>Z395*T395</f>
        <v>0</v>
      </c>
      <c r="AQ395" s="193">
        <f>AA395</f>
        <v>0</v>
      </c>
      <c r="AR395" s="193">
        <f>W395*S395</f>
        <v>0</v>
      </c>
      <c r="AS395" s="193">
        <f>W395*T395</f>
        <v>0</v>
      </c>
      <c r="AT395" s="197">
        <f t="shared" si="490"/>
        <v>6356.05</v>
      </c>
      <c r="AU395" s="197">
        <f t="shared" si="490"/>
        <v>0</v>
      </c>
      <c r="AV395" s="191"/>
      <c r="AW395" s="236">
        <f>R395*S395</f>
        <v>6356.05</v>
      </c>
      <c r="AX395" s="236"/>
    </row>
    <row r="396" spans="2:53" s="69" customFormat="1" ht="58.5">
      <c r="B396" s="660">
        <f>1+B395</f>
        <v>249</v>
      </c>
      <c r="C396" s="185" t="s">
        <v>1116</v>
      </c>
      <c r="D396" s="186" t="s">
        <v>310</v>
      </c>
      <c r="E396" s="660" t="s">
        <v>1119</v>
      </c>
      <c r="F396" s="660">
        <v>9</v>
      </c>
      <c r="G396" s="187">
        <v>5527</v>
      </c>
      <c r="H396" s="687"/>
      <c r="I396" s="187"/>
      <c r="J396" s="687"/>
      <c r="K396" s="187"/>
      <c r="L396" s="187"/>
      <c r="M396" s="687"/>
      <c r="N396" s="187"/>
      <c r="O396" s="688">
        <v>0.15</v>
      </c>
      <c r="P396" s="187">
        <f>G396*O396</f>
        <v>829.05</v>
      </c>
      <c r="Q396" s="187"/>
      <c r="R396" s="187">
        <f>G396+I396+K396+L396+N396+P396+Q396</f>
        <v>6356.05</v>
      </c>
      <c r="S396" s="187">
        <v>1</v>
      </c>
      <c r="T396" s="187"/>
      <c r="U396" s="187"/>
      <c r="V396" s="687"/>
      <c r="W396" s="187"/>
      <c r="X396" s="674">
        <v>30</v>
      </c>
      <c r="Y396" s="688">
        <v>0.3</v>
      </c>
      <c r="Z396" s="187">
        <f>R396*Y396</f>
        <v>1906.8150000000001</v>
      </c>
      <c r="AA396" s="187"/>
      <c r="AB396" s="187">
        <f>(R396+Z396)*S396+AA396</f>
        <v>8262.8649999999998</v>
      </c>
      <c r="AC396" s="689">
        <f>AF396</f>
        <v>5237.1350000000002</v>
      </c>
      <c r="AD396" s="689">
        <f>AB396+AC396</f>
        <v>13500</v>
      </c>
      <c r="AE396" s="190">
        <f>13500*S396</f>
        <v>13500</v>
      </c>
      <c r="AF396" s="190">
        <f>AE396-AB396</f>
        <v>5237.1350000000002</v>
      </c>
      <c r="AG396" s="689">
        <f>8000*S396</f>
        <v>8000</v>
      </c>
      <c r="AH396" s="190">
        <f>AG396-(R396+Z396)*S396</f>
        <v>-262.86499999999978</v>
      </c>
      <c r="AI396" s="191">
        <f>G396*S396</f>
        <v>5527</v>
      </c>
      <c r="AJ396" s="191">
        <f>G396*T396</f>
        <v>0</v>
      </c>
      <c r="AK396" s="191">
        <f>R396*S396</f>
        <v>6356.05</v>
      </c>
      <c r="AL396" s="191">
        <f>R396*T396</f>
        <v>0</v>
      </c>
      <c r="AM396" s="191">
        <f t="shared" si="489"/>
        <v>829.05000000000018</v>
      </c>
      <c r="AN396" s="191">
        <f t="shared" si="489"/>
        <v>0</v>
      </c>
      <c r="AO396" s="193">
        <f>Z396*S396</f>
        <v>1906.8150000000001</v>
      </c>
      <c r="AP396" s="193">
        <f>Z396*T396</f>
        <v>0</v>
      </c>
      <c r="AQ396" s="193">
        <f>AA396</f>
        <v>0</v>
      </c>
      <c r="AR396" s="193">
        <f>W396*S396</f>
        <v>0</v>
      </c>
      <c r="AS396" s="193">
        <f>W396*T396</f>
        <v>0</v>
      </c>
      <c r="AT396" s="197">
        <f t="shared" si="490"/>
        <v>6356.05</v>
      </c>
      <c r="AU396" s="197">
        <f t="shared" si="490"/>
        <v>0</v>
      </c>
      <c r="AV396" s="191"/>
      <c r="AW396" s="236">
        <f>R396*S396</f>
        <v>6356.05</v>
      </c>
      <c r="AX396" s="236"/>
    </row>
    <row r="397" spans="2:53" s="69" customFormat="1" ht="58.5">
      <c r="B397" s="660">
        <f>1+B396</f>
        <v>250</v>
      </c>
      <c r="C397" s="185" t="s">
        <v>1116</v>
      </c>
      <c r="D397" s="186" t="s">
        <v>311</v>
      </c>
      <c r="E397" s="660" t="s">
        <v>1120</v>
      </c>
      <c r="F397" s="194">
        <v>9</v>
      </c>
      <c r="G397" s="187">
        <v>5527</v>
      </c>
      <c r="H397" s="687"/>
      <c r="I397" s="187"/>
      <c r="J397" s="687"/>
      <c r="K397" s="187"/>
      <c r="L397" s="187"/>
      <c r="M397" s="687"/>
      <c r="N397" s="187"/>
      <c r="O397" s="688">
        <v>0.15</v>
      </c>
      <c r="P397" s="187">
        <f>G397*O397</f>
        <v>829.05</v>
      </c>
      <c r="Q397" s="187"/>
      <c r="R397" s="187">
        <f>G397+I397+K397+L397+N397+P397+Q397</f>
        <v>6356.05</v>
      </c>
      <c r="S397" s="187">
        <v>1</v>
      </c>
      <c r="T397" s="187"/>
      <c r="U397" s="187"/>
      <c r="V397" s="687"/>
      <c r="W397" s="187"/>
      <c r="X397" s="674">
        <v>23</v>
      </c>
      <c r="Y397" s="688">
        <v>0.3</v>
      </c>
      <c r="Z397" s="187">
        <f>R397*Y397</f>
        <v>1906.8150000000001</v>
      </c>
      <c r="AA397" s="187"/>
      <c r="AB397" s="187">
        <f>(R397+Z397)*S397+AA397</f>
        <v>8262.8649999999998</v>
      </c>
      <c r="AC397" s="689">
        <f>AF397</f>
        <v>5237.1350000000002</v>
      </c>
      <c r="AD397" s="689">
        <f>AB397+AC397</f>
        <v>13500</v>
      </c>
      <c r="AE397" s="190">
        <f>13500*S397</f>
        <v>13500</v>
      </c>
      <c r="AF397" s="190">
        <f>AE397-AB397</f>
        <v>5237.1350000000002</v>
      </c>
      <c r="AG397" s="689">
        <f>8000*S397</f>
        <v>8000</v>
      </c>
      <c r="AH397" s="190">
        <f>AG397-(R397+Z397)*S397</f>
        <v>-262.86499999999978</v>
      </c>
      <c r="AI397" s="191">
        <f>G397*S397</f>
        <v>5527</v>
      </c>
      <c r="AJ397" s="191">
        <f>G397*T397</f>
        <v>0</v>
      </c>
      <c r="AK397" s="191">
        <f>R397*S397</f>
        <v>6356.05</v>
      </c>
      <c r="AL397" s="191">
        <f>R397*T397</f>
        <v>0</v>
      </c>
      <c r="AM397" s="191">
        <f t="shared" si="489"/>
        <v>829.05000000000018</v>
      </c>
      <c r="AN397" s="191">
        <f t="shared" si="489"/>
        <v>0</v>
      </c>
      <c r="AO397" s="193">
        <f>Z397*S397</f>
        <v>1906.8150000000001</v>
      </c>
      <c r="AP397" s="193">
        <f>Z397*T397</f>
        <v>0</v>
      </c>
      <c r="AQ397" s="193">
        <f>AA397</f>
        <v>0</v>
      </c>
      <c r="AR397" s="193">
        <f>W397*S397</f>
        <v>0</v>
      </c>
      <c r="AS397" s="193">
        <f>W397*T397</f>
        <v>0</v>
      </c>
      <c r="AT397" s="197">
        <f t="shared" si="490"/>
        <v>6356.05</v>
      </c>
      <c r="AU397" s="197">
        <f t="shared" si="490"/>
        <v>0</v>
      </c>
      <c r="AV397" s="191"/>
      <c r="AW397" s="236">
        <f>R397*S397</f>
        <v>6356.05</v>
      </c>
      <c r="AX397" s="236"/>
    </row>
    <row r="398" spans="2:53" s="69" customFormat="1" ht="31.5">
      <c r="B398" s="660"/>
      <c r="C398" s="168" t="s">
        <v>1662</v>
      </c>
      <c r="D398" s="195"/>
      <c r="E398" s="181"/>
      <c r="F398" s="181"/>
      <c r="G398" s="171">
        <f>SUM(G394:G397)</f>
        <v>21214</v>
      </c>
      <c r="H398" s="682"/>
      <c r="I398" s="181"/>
      <c r="J398" s="682"/>
      <c r="K398" s="181"/>
      <c r="L398" s="181"/>
      <c r="M398" s="682"/>
      <c r="N398" s="181"/>
      <c r="O398" s="682"/>
      <c r="P398" s="171">
        <f>SUM(P394:P397)</f>
        <v>3182.1000000000004</v>
      </c>
      <c r="Q398" s="181"/>
      <c r="R398" s="171">
        <f>SUM(R394:R397)</f>
        <v>24396.1</v>
      </c>
      <c r="S398" s="171">
        <f>SUM(S394:S397)</f>
        <v>4</v>
      </c>
      <c r="T398" s="171">
        <f>SUM(T394:T397)</f>
        <v>0</v>
      </c>
      <c r="U398" s="171"/>
      <c r="V398" s="693"/>
      <c r="W398" s="171"/>
      <c r="X398" s="693"/>
      <c r="Y398" s="693"/>
      <c r="Z398" s="171">
        <f>SUM(Z394:Z397)</f>
        <v>7318.83</v>
      </c>
      <c r="AA398" s="171">
        <f>SUM(AA394:AA397)</f>
        <v>1073.665</v>
      </c>
      <c r="AB398" s="171">
        <f>SUM(AB394:AB397)</f>
        <v>32788.595000000001</v>
      </c>
      <c r="AC398" s="171">
        <f>SUM(AC394:AC397)</f>
        <v>21211.404999999999</v>
      </c>
      <c r="AD398" s="171">
        <f>SUM(AD394:AD397)</f>
        <v>54000</v>
      </c>
      <c r="AE398" s="171">
        <f t="shared" ref="AE398:AV398" si="491">SUM(AE394:AE397)</f>
        <v>54000</v>
      </c>
      <c r="AF398" s="171">
        <f t="shared" si="491"/>
        <v>21211.404999999999</v>
      </c>
      <c r="AG398" s="171">
        <f t="shared" si="491"/>
        <v>32000</v>
      </c>
      <c r="AH398" s="171">
        <f t="shared" si="491"/>
        <v>285.07000000000062</v>
      </c>
      <c r="AI398" s="171">
        <f t="shared" si="491"/>
        <v>21214</v>
      </c>
      <c r="AJ398" s="171">
        <f t="shared" si="491"/>
        <v>0</v>
      </c>
      <c r="AK398" s="171">
        <f t="shared" si="491"/>
        <v>24396.1</v>
      </c>
      <c r="AL398" s="171">
        <f t="shared" si="491"/>
        <v>0</v>
      </c>
      <c r="AM398" s="171">
        <f t="shared" si="491"/>
        <v>3182.1000000000004</v>
      </c>
      <c r="AN398" s="171">
        <f t="shared" si="491"/>
        <v>0</v>
      </c>
      <c r="AO398" s="171">
        <f t="shared" si="491"/>
        <v>7318.83</v>
      </c>
      <c r="AP398" s="171">
        <f t="shared" si="491"/>
        <v>0</v>
      </c>
      <c r="AQ398" s="171">
        <f t="shared" si="491"/>
        <v>1073.665</v>
      </c>
      <c r="AR398" s="171">
        <f t="shared" si="491"/>
        <v>0</v>
      </c>
      <c r="AS398" s="171">
        <f t="shared" si="491"/>
        <v>0</v>
      </c>
      <c r="AT398" s="171">
        <f t="shared" si="491"/>
        <v>24396.1</v>
      </c>
      <c r="AU398" s="171">
        <f t="shared" si="491"/>
        <v>0</v>
      </c>
      <c r="AV398" s="171">
        <f t="shared" si="491"/>
        <v>0</v>
      </c>
      <c r="AW398" s="171">
        <f>SUM(AW394:AW397)</f>
        <v>24396.1</v>
      </c>
      <c r="AX398" s="171">
        <f>SUM(AX394:AX397)</f>
        <v>0</v>
      </c>
    </row>
    <row r="399" spans="2:53" s="69" customFormat="1" ht="31.5">
      <c r="B399" s="660"/>
      <c r="C399" s="168" t="s">
        <v>1223</v>
      </c>
      <c r="D399" s="195"/>
      <c r="E399" s="181"/>
      <c r="F399" s="181"/>
      <c r="G399" s="171">
        <f>G392+G398</f>
        <v>34760</v>
      </c>
      <c r="H399" s="693"/>
      <c r="I399" s="171"/>
      <c r="J399" s="693"/>
      <c r="K399" s="171"/>
      <c r="L399" s="171"/>
      <c r="M399" s="693"/>
      <c r="N399" s="171"/>
      <c r="O399" s="693"/>
      <c r="P399" s="171">
        <f t="shared" ref="P399:AA399" si="492">P392+P398</f>
        <v>5214</v>
      </c>
      <c r="Q399" s="171">
        <f t="shared" si="492"/>
        <v>0</v>
      </c>
      <c r="R399" s="171">
        <f t="shared" si="492"/>
        <v>39974</v>
      </c>
      <c r="S399" s="171">
        <f t="shared" si="492"/>
        <v>4.5</v>
      </c>
      <c r="T399" s="171">
        <f t="shared" si="492"/>
        <v>0.5</v>
      </c>
      <c r="U399" s="171"/>
      <c r="V399" s="693"/>
      <c r="W399" s="171"/>
      <c r="X399" s="693"/>
      <c r="Y399" s="693"/>
      <c r="Z399" s="171">
        <f t="shared" si="492"/>
        <v>8876.619999999999</v>
      </c>
      <c r="AA399" s="171">
        <f t="shared" si="492"/>
        <v>1179.19</v>
      </c>
      <c r="AB399" s="171">
        <f>AB392+AB398</f>
        <v>41461.964999999997</v>
      </c>
      <c r="AC399" s="171">
        <f t="shared" ref="AC399:AX399" si="493">AC392+AC398</f>
        <v>26538.035</v>
      </c>
      <c r="AD399" s="171">
        <f>AD392+AD398</f>
        <v>64000</v>
      </c>
      <c r="AE399" s="171">
        <f t="shared" si="493"/>
        <v>64000</v>
      </c>
      <c r="AF399" s="171">
        <f t="shared" si="493"/>
        <v>26538.035</v>
      </c>
      <c r="AG399" s="171">
        <f t="shared" si="493"/>
        <v>36000</v>
      </c>
      <c r="AH399" s="171">
        <f t="shared" si="493"/>
        <v>-388.29999999999927</v>
      </c>
      <c r="AI399" s="171">
        <f t="shared" si="493"/>
        <v>21214</v>
      </c>
      <c r="AJ399" s="171">
        <f t="shared" si="493"/>
        <v>3386.5</v>
      </c>
      <c r="AK399" s="171">
        <f t="shared" si="493"/>
        <v>24396.1</v>
      </c>
      <c r="AL399" s="171">
        <f t="shared" si="493"/>
        <v>3894.4749999999999</v>
      </c>
      <c r="AM399" s="171">
        <f t="shared" si="493"/>
        <v>3182.1000000000004</v>
      </c>
      <c r="AN399" s="171">
        <f t="shared" si="493"/>
        <v>507.97499999999991</v>
      </c>
      <c r="AO399" s="171">
        <f t="shared" si="493"/>
        <v>7318.83</v>
      </c>
      <c r="AP399" s="171">
        <f t="shared" si="493"/>
        <v>778.89499999999998</v>
      </c>
      <c r="AQ399" s="171">
        <f t="shared" si="493"/>
        <v>1073.665</v>
      </c>
      <c r="AR399" s="171">
        <f t="shared" si="493"/>
        <v>0</v>
      </c>
      <c r="AS399" s="171">
        <f t="shared" si="493"/>
        <v>0</v>
      </c>
      <c r="AT399" s="171">
        <f t="shared" si="493"/>
        <v>24396.1</v>
      </c>
      <c r="AU399" s="171">
        <f t="shared" si="493"/>
        <v>3894.4749999999999</v>
      </c>
      <c r="AV399" s="171">
        <f t="shared" si="493"/>
        <v>0</v>
      </c>
      <c r="AW399" s="171">
        <f t="shared" si="493"/>
        <v>28290.574999999997</v>
      </c>
      <c r="AX399" s="171">
        <f t="shared" si="493"/>
        <v>0</v>
      </c>
    </row>
    <row r="400" spans="2:53" s="69" customFormat="1" ht="118.5" customHeight="1">
      <c r="B400" s="660"/>
      <c r="C400" s="179" t="s">
        <v>312</v>
      </c>
      <c r="D400" s="180"/>
      <c r="E400" s="181"/>
      <c r="F400" s="181"/>
      <c r="G400" s="181"/>
      <c r="H400" s="682"/>
      <c r="I400" s="181"/>
      <c r="J400" s="682"/>
      <c r="K400" s="181"/>
      <c r="L400" s="181"/>
      <c r="M400" s="682"/>
      <c r="N400" s="181"/>
      <c r="O400" s="682"/>
      <c r="P400" s="181"/>
      <c r="Q400" s="181"/>
      <c r="R400" s="181"/>
      <c r="S400" s="181"/>
      <c r="T400" s="181"/>
      <c r="U400" s="181"/>
      <c r="V400" s="683"/>
      <c r="W400" s="181"/>
      <c r="X400" s="683"/>
      <c r="Y400" s="683"/>
      <c r="Z400" s="181"/>
      <c r="AA400" s="181"/>
      <c r="AB400" s="181"/>
      <c r="AC400" s="183"/>
      <c r="AD400" s="183"/>
      <c r="AE400" s="183"/>
      <c r="AF400" s="183"/>
      <c r="AG400" s="183"/>
      <c r="AH400" s="183"/>
      <c r="AI400" s="191"/>
      <c r="AJ400" s="191"/>
      <c r="AK400" s="191"/>
      <c r="AL400" s="191"/>
      <c r="AM400" s="191"/>
      <c r="AN400" s="191"/>
      <c r="AO400" s="193"/>
      <c r="AP400" s="193"/>
      <c r="AQ400" s="193"/>
      <c r="AR400" s="193"/>
      <c r="AS400" s="193"/>
      <c r="AT400" s="197"/>
      <c r="AU400" s="197"/>
      <c r="AV400" s="191"/>
      <c r="AW400" s="236"/>
      <c r="AX400" s="236"/>
    </row>
    <row r="401" spans="2:53" s="69" customFormat="1" ht="33">
      <c r="B401" s="660"/>
      <c r="C401" s="208" t="s">
        <v>1309</v>
      </c>
      <c r="D401" s="205"/>
      <c r="E401" s="206"/>
      <c r="F401" s="206"/>
      <c r="G401" s="206"/>
      <c r="H401" s="696"/>
      <c r="I401" s="206"/>
      <c r="J401" s="696"/>
      <c r="K401" s="206"/>
      <c r="L401" s="206"/>
      <c r="M401" s="696"/>
      <c r="N401" s="206"/>
      <c r="O401" s="696"/>
      <c r="P401" s="206"/>
      <c r="Q401" s="206"/>
      <c r="R401" s="206"/>
      <c r="S401" s="206"/>
      <c r="T401" s="206"/>
      <c r="U401" s="206"/>
      <c r="V401" s="697"/>
      <c r="W401" s="206"/>
      <c r="X401" s="697"/>
      <c r="Y401" s="697"/>
      <c r="Z401" s="206"/>
      <c r="AA401" s="206"/>
      <c r="AB401" s="206"/>
      <c r="AC401" s="207"/>
      <c r="AD401" s="207"/>
      <c r="AE401" s="207"/>
      <c r="AF401" s="207"/>
      <c r="AG401" s="207"/>
      <c r="AH401" s="207"/>
      <c r="AI401" s="191"/>
      <c r="AJ401" s="191"/>
      <c r="AK401" s="191"/>
      <c r="AL401" s="191"/>
      <c r="AM401" s="191"/>
      <c r="AN401" s="191"/>
      <c r="AO401" s="193"/>
      <c r="AP401" s="193"/>
      <c r="AQ401" s="193"/>
      <c r="AR401" s="193"/>
      <c r="AS401" s="193"/>
      <c r="AT401" s="197"/>
      <c r="AU401" s="197"/>
      <c r="AV401" s="191"/>
      <c r="AW401" s="236"/>
      <c r="AX401" s="236"/>
      <c r="BA401" s="70"/>
    </row>
    <row r="402" spans="2:53" s="71" customFormat="1" ht="87.75">
      <c r="B402" s="660">
        <f>B397+1</f>
        <v>251</v>
      </c>
      <c r="C402" s="185" t="s">
        <v>313</v>
      </c>
      <c r="D402" s="870" t="s">
        <v>314</v>
      </c>
      <c r="E402" s="660" t="s">
        <v>1027</v>
      </c>
      <c r="F402" s="660">
        <v>10</v>
      </c>
      <c r="G402" s="187">
        <v>5815</v>
      </c>
      <c r="H402" s="688"/>
      <c r="I402" s="660"/>
      <c r="J402" s="674"/>
      <c r="K402" s="660"/>
      <c r="L402" s="660"/>
      <c r="M402" s="674"/>
      <c r="N402" s="210"/>
      <c r="O402" s="864"/>
      <c r="P402" s="192"/>
      <c r="Q402" s="189"/>
      <c r="R402" s="187">
        <f t="shared" ref="R402:R411" si="494">G402+I402+K402+L402+N402+P402+Q402</f>
        <v>5815</v>
      </c>
      <c r="S402" s="187">
        <v>1</v>
      </c>
      <c r="T402" s="660"/>
      <c r="U402" s="660"/>
      <c r="V402" s="674"/>
      <c r="W402" s="660"/>
      <c r="X402" s="674">
        <v>33</v>
      </c>
      <c r="Y402" s="688">
        <v>0.3</v>
      </c>
      <c r="Z402" s="187">
        <f t="shared" ref="Z402:Z411" si="495">R402*Y402</f>
        <v>1744.5</v>
      </c>
      <c r="AA402" s="187">
        <f>AH402</f>
        <v>440.5</v>
      </c>
      <c r="AB402" s="187">
        <f>(R402+Z402)*S402+AA402</f>
        <v>8000</v>
      </c>
      <c r="AC402" s="689">
        <f t="shared" ref="AC402:AC411" si="496">AF402</f>
        <v>12000</v>
      </c>
      <c r="AD402" s="689">
        <f t="shared" ref="AD402:AD411" si="497">AB402+AC402</f>
        <v>20000</v>
      </c>
      <c r="AE402" s="190">
        <f t="shared" ref="AE402:AE410" si="498">20000*S402</f>
        <v>20000</v>
      </c>
      <c r="AF402" s="190">
        <f t="shared" ref="AF402:AF411" si="499">AE402-AB402</f>
        <v>12000</v>
      </c>
      <c r="AG402" s="689">
        <f>8000*S402</f>
        <v>8000</v>
      </c>
      <c r="AH402" s="190">
        <f>AG402-(R402+Z402)*S402</f>
        <v>440.5</v>
      </c>
      <c r="AI402" s="191">
        <f>G402*S402</f>
        <v>5815</v>
      </c>
      <c r="AJ402" s="191">
        <f>G402*T402</f>
        <v>0</v>
      </c>
      <c r="AK402" s="191">
        <f>R402*S402</f>
        <v>5815</v>
      </c>
      <c r="AL402" s="191">
        <f>R402*T402</f>
        <v>0</v>
      </c>
      <c r="AM402" s="191">
        <f>AK402-AI402</f>
        <v>0</v>
      </c>
      <c r="AN402" s="191">
        <f>AL402-AJ402</f>
        <v>0</v>
      </c>
      <c r="AO402" s="193">
        <f>Z402*S402</f>
        <v>1744.5</v>
      </c>
      <c r="AP402" s="193">
        <f>Z402*T402</f>
        <v>0</v>
      </c>
      <c r="AQ402" s="193">
        <f>AA402</f>
        <v>440.5</v>
      </c>
      <c r="AR402" s="193">
        <f>W402*S402</f>
        <v>0</v>
      </c>
      <c r="AS402" s="193">
        <f>W402*T402</f>
        <v>0</v>
      </c>
      <c r="AT402" s="197">
        <f>AK402</f>
        <v>5815</v>
      </c>
      <c r="AU402" s="197">
        <f>AL402</f>
        <v>0</v>
      </c>
      <c r="AV402" s="191"/>
      <c r="AW402" s="236">
        <f t="shared" ref="AW402:AW410" si="500">R402*S402</f>
        <v>5815</v>
      </c>
      <c r="AX402" s="236"/>
    </row>
    <row r="403" spans="2:53" s="71" customFormat="1" ht="87.75">
      <c r="B403" s="660">
        <f t="shared" ref="B403:B408" si="501">B402+1</f>
        <v>252</v>
      </c>
      <c r="C403" s="185" t="s">
        <v>313</v>
      </c>
      <c r="D403" s="870" t="s">
        <v>315</v>
      </c>
      <c r="E403" s="882" t="s">
        <v>316</v>
      </c>
      <c r="F403" s="660">
        <v>10</v>
      </c>
      <c r="G403" s="187">
        <v>5815</v>
      </c>
      <c r="H403" s="688"/>
      <c r="I403" s="660"/>
      <c r="J403" s="674"/>
      <c r="K403" s="660"/>
      <c r="L403" s="660"/>
      <c r="M403" s="674"/>
      <c r="N403" s="210"/>
      <c r="O403" s="688"/>
      <c r="P403" s="192"/>
      <c r="Q403" s="189"/>
      <c r="R403" s="187">
        <f t="shared" si="494"/>
        <v>5815</v>
      </c>
      <c r="S403" s="187">
        <v>1</v>
      </c>
      <c r="T403" s="660"/>
      <c r="U403" s="660"/>
      <c r="V403" s="674"/>
      <c r="W403" s="660"/>
      <c r="X403" s="674">
        <v>43</v>
      </c>
      <c r="Y403" s="688">
        <v>0.3</v>
      </c>
      <c r="Z403" s="187">
        <f>R403*Y403</f>
        <v>1744.5</v>
      </c>
      <c r="AA403" s="187">
        <f>AH403</f>
        <v>440.5</v>
      </c>
      <c r="AB403" s="187">
        <f t="shared" ref="AB403:AB410" si="502">(R403+Z403)*S403+AA403</f>
        <v>8000</v>
      </c>
      <c r="AC403" s="689">
        <f t="shared" si="496"/>
        <v>12000</v>
      </c>
      <c r="AD403" s="689">
        <f t="shared" si="497"/>
        <v>20000</v>
      </c>
      <c r="AE403" s="190">
        <f t="shared" si="498"/>
        <v>20000</v>
      </c>
      <c r="AF403" s="190">
        <f t="shared" si="499"/>
        <v>12000</v>
      </c>
      <c r="AG403" s="689">
        <f>8000*S403</f>
        <v>8000</v>
      </c>
      <c r="AH403" s="190">
        <f>AG403-(R403+Z403)*S403</f>
        <v>440.5</v>
      </c>
      <c r="AI403" s="191"/>
      <c r="AJ403" s="191"/>
      <c r="AK403" s="191"/>
      <c r="AL403" s="191"/>
      <c r="AM403" s="191"/>
      <c r="AN403" s="191"/>
      <c r="AO403" s="193"/>
      <c r="AP403" s="193"/>
      <c r="AQ403" s="193"/>
      <c r="AR403" s="193"/>
      <c r="AS403" s="193"/>
      <c r="AT403" s="197"/>
      <c r="AU403" s="197"/>
      <c r="AV403" s="191"/>
      <c r="AW403" s="236">
        <f t="shared" si="500"/>
        <v>5815</v>
      </c>
      <c r="AX403" s="236"/>
    </row>
    <row r="404" spans="2:53" s="71" customFormat="1" ht="58.5">
      <c r="B404" s="660">
        <f>B403+1</f>
        <v>253</v>
      </c>
      <c r="C404" s="185" t="s">
        <v>317</v>
      </c>
      <c r="D404" s="186" t="s">
        <v>318</v>
      </c>
      <c r="E404" s="882" t="s">
        <v>1027</v>
      </c>
      <c r="F404" s="660">
        <v>13</v>
      </c>
      <c r="G404" s="187">
        <v>7253</v>
      </c>
      <c r="H404" s="688"/>
      <c r="I404" s="660"/>
      <c r="J404" s="674"/>
      <c r="K404" s="660"/>
      <c r="L404" s="660"/>
      <c r="M404" s="674"/>
      <c r="N404" s="210"/>
      <c r="O404" s="688"/>
      <c r="P404" s="192"/>
      <c r="Q404" s="189"/>
      <c r="R404" s="187">
        <f t="shared" si="494"/>
        <v>7253</v>
      </c>
      <c r="S404" s="187"/>
      <c r="T404" s="187">
        <v>0.5</v>
      </c>
      <c r="U404" s="660"/>
      <c r="V404" s="674"/>
      <c r="W404" s="660"/>
      <c r="X404" s="674">
        <v>33</v>
      </c>
      <c r="Y404" s="688">
        <v>0.3</v>
      </c>
      <c r="Z404" s="187">
        <f>R404*Y404</f>
        <v>2175.9</v>
      </c>
      <c r="AA404" s="187"/>
      <c r="AB404" s="187">
        <f>(R404+Z404)*T404+AA404</f>
        <v>4714.45</v>
      </c>
      <c r="AC404" s="689">
        <f>AF404</f>
        <v>5285.55</v>
      </c>
      <c r="AD404" s="689">
        <f>AB404+AC404</f>
        <v>10000</v>
      </c>
      <c r="AE404" s="190">
        <f>20000*T404</f>
        <v>10000</v>
      </c>
      <c r="AF404" s="190">
        <f>AE404-AB404</f>
        <v>5285.55</v>
      </c>
      <c r="AG404" s="689">
        <f>8000*T404</f>
        <v>4000</v>
      </c>
      <c r="AH404" s="190">
        <f>AG404-(R404+Z404)*T404</f>
        <v>-714.44999999999982</v>
      </c>
      <c r="AI404" s="191"/>
      <c r="AJ404" s="191"/>
      <c r="AK404" s="191"/>
      <c r="AL404" s="191"/>
      <c r="AM404" s="191"/>
      <c r="AN404" s="191"/>
      <c r="AO404" s="193"/>
      <c r="AP404" s="193"/>
      <c r="AQ404" s="193"/>
      <c r="AR404" s="193"/>
      <c r="AS404" s="193"/>
      <c r="AT404" s="197"/>
      <c r="AU404" s="197"/>
      <c r="AV404" s="191"/>
      <c r="AW404" s="236">
        <f>R404*T404</f>
        <v>3626.5</v>
      </c>
      <c r="AX404" s="236"/>
    </row>
    <row r="405" spans="2:53" s="71" customFormat="1" ht="33">
      <c r="B405" s="660">
        <f>B404+1</f>
        <v>254</v>
      </c>
      <c r="C405" s="185" t="s">
        <v>319</v>
      </c>
      <c r="D405" s="870" t="s">
        <v>1674</v>
      </c>
      <c r="E405" s="882" t="s">
        <v>320</v>
      </c>
      <c r="F405" s="660">
        <v>10</v>
      </c>
      <c r="G405" s="187">
        <v>5815</v>
      </c>
      <c r="H405" s="688"/>
      <c r="I405" s="660"/>
      <c r="J405" s="674"/>
      <c r="K405" s="660"/>
      <c r="L405" s="660"/>
      <c r="M405" s="674"/>
      <c r="N405" s="210"/>
      <c r="O405" s="688"/>
      <c r="P405" s="192"/>
      <c r="Q405" s="189"/>
      <c r="R405" s="187">
        <f t="shared" si="494"/>
        <v>5815</v>
      </c>
      <c r="S405" s="187">
        <v>1</v>
      </c>
      <c r="T405" s="660"/>
      <c r="U405" s="660"/>
      <c r="V405" s="674"/>
      <c r="W405" s="660"/>
      <c r="X405" s="674">
        <v>0</v>
      </c>
      <c r="Y405" s="688">
        <v>0</v>
      </c>
      <c r="Z405" s="187">
        <f t="shared" si="495"/>
        <v>0</v>
      </c>
      <c r="AA405" s="187">
        <f t="shared" ref="AA405:AA411" si="503">AH405</f>
        <v>2185</v>
      </c>
      <c r="AB405" s="187">
        <f t="shared" si="502"/>
        <v>8000</v>
      </c>
      <c r="AC405" s="689">
        <f t="shared" si="496"/>
        <v>12000</v>
      </c>
      <c r="AD405" s="689">
        <f t="shared" si="497"/>
        <v>20000</v>
      </c>
      <c r="AE405" s="190">
        <f t="shared" si="498"/>
        <v>20000</v>
      </c>
      <c r="AF405" s="190">
        <f t="shared" si="499"/>
        <v>12000</v>
      </c>
      <c r="AG405" s="689">
        <f t="shared" ref="AG405:AG410" si="504">8000*S405</f>
        <v>8000</v>
      </c>
      <c r="AH405" s="190">
        <f t="shared" ref="AH405:AH410" si="505">AG405-(R405+Z405)*S405</f>
        <v>2185</v>
      </c>
      <c r="AI405" s="191"/>
      <c r="AJ405" s="191"/>
      <c r="AK405" s="191"/>
      <c r="AL405" s="191"/>
      <c r="AM405" s="191"/>
      <c r="AN405" s="191"/>
      <c r="AO405" s="193"/>
      <c r="AP405" s="193"/>
      <c r="AQ405" s="193"/>
      <c r="AR405" s="193"/>
      <c r="AS405" s="193"/>
      <c r="AT405" s="197"/>
      <c r="AU405" s="197"/>
      <c r="AV405" s="191"/>
      <c r="AW405" s="236">
        <f t="shared" si="500"/>
        <v>5815</v>
      </c>
      <c r="AX405" s="236"/>
    </row>
    <row r="406" spans="2:53" s="71" customFormat="1" ht="33">
      <c r="B406" s="660">
        <f t="shared" si="501"/>
        <v>255</v>
      </c>
      <c r="C406" s="185" t="s">
        <v>319</v>
      </c>
      <c r="D406" s="870" t="s">
        <v>1674</v>
      </c>
      <c r="E406" s="882" t="s">
        <v>321</v>
      </c>
      <c r="F406" s="660">
        <v>10</v>
      </c>
      <c r="G406" s="187">
        <v>5815</v>
      </c>
      <c r="H406" s="688"/>
      <c r="I406" s="660"/>
      <c r="J406" s="674"/>
      <c r="K406" s="660"/>
      <c r="L406" s="660"/>
      <c r="M406" s="674"/>
      <c r="N406" s="210"/>
      <c r="O406" s="688"/>
      <c r="P406" s="192"/>
      <c r="Q406" s="189"/>
      <c r="R406" s="187">
        <f t="shared" si="494"/>
        <v>5815</v>
      </c>
      <c r="S406" s="187">
        <v>1</v>
      </c>
      <c r="T406" s="660"/>
      <c r="U406" s="660"/>
      <c r="V406" s="674"/>
      <c r="W406" s="660"/>
      <c r="X406" s="674">
        <v>22</v>
      </c>
      <c r="Y406" s="688">
        <v>0.3</v>
      </c>
      <c r="Z406" s="187">
        <f t="shared" si="495"/>
        <v>1744.5</v>
      </c>
      <c r="AA406" s="187">
        <f t="shared" si="503"/>
        <v>440.5</v>
      </c>
      <c r="AB406" s="187">
        <f t="shared" si="502"/>
        <v>8000</v>
      </c>
      <c r="AC406" s="689">
        <f t="shared" si="496"/>
        <v>12000</v>
      </c>
      <c r="AD406" s="689">
        <f t="shared" si="497"/>
        <v>20000</v>
      </c>
      <c r="AE406" s="190">
        <f t="shared" si="498"/>
        <v>20000</v>
      </c>
      <c r="AF406" s="190">
        <f t="shared" si="499"/>
        <v>12000</v>
      </c>
      <c r="AG406" s="689">
        <f t="shared" si="504"/>
        <v>8000</v>
      </c>
      <c r="AH406" s="190">
        <f t="shared" si="505"/>
        <v>440.5</v>
      </c>
      <c r="AI406" s="191"/>
      <c r="AJ406" s="191"/>
      <c r="AK406" s="191"/>
      <c r="AL406" s="191"/>
      <c r="AM406" s="191"/>
      <c r="AN406" s="191"/>
      <c r="AO406" s="193"/>
      <c r="AP406" s="193"/>
      <c r="AQ406" s="193"/>
      <c r="AR406" s="193"/>
      <c r="AS406" s="193"/>
      <c r="AT406" s="197"/>
      <c r="AU406" s="197"/>
      <c r="AV406" s="191"/>
      <c r="AW406" s="236">
        <f t="shared" si="500"/>
        <v>5815</v>
      </c>
      <c r="AX406" s="236"/>
    </row>
    <row r="407" spans="2:53" s="71" customFormat="1" ht="33">
      <c r="B407" s="660">
        <f t="shared" si="501"/>
        <v>256</v>
      </c>
      <c r="C407" s="185" t="s">
        <v>322</v>
      </c>
      <c r="D407" s="870" t="s">
        <v>1674</v>
      </c>
      <c r="E407" s="660" t="s">
        <v>1126</v>
      </c>
      <c r="F407" s="660">
        <v>10</v>
      </c>
      <c r="G407" s="187">
        <v>5815</v>
      </c>
      <c r="H407" s="688"/>
      <c r="I407" s="660"/>
      <c r="J407" s="674"/>
      <c r="K407" s="660"/>
      <c r="L407" s="660"/>
      <c r="M407" s="674"/>
      <c r="N407" s="210"/>
      <c r="O407" s="688"/>
      <c r="P407" s="192"/>
      <c r="Q407" s="189"/>
      <c r="R407" s="187">
        <f t="shared" si="494"/>
        <v>5815</v>
      </c>
      <c r="S407" s="187">
        <v>1</v>
      </c>
      <c r="T407" s="660"/>
      <c r="U407" s="660"/>
      <c r="V407" s="674"/>
      <c r="W407" s="660"/>
      <c r="X407" s="674">
        <v>16</v>
      </c>
      <c r="Y407" s="688">
        <v>0.2</v>
      </c>
      <c r="Z407" s="187">
        <f t="shared" si="495"/>
        <v>1163</v>
      </c>
      <c r="AA407" s="187">
        <f t="shared" si="503"/>
        <v>1022</v>
      </c>
      <c r="AB407" s="187">
        <f t="shared" si="502"/>
        <v>8000</v>
      </c>
      <c r="AC407" s="689">
        <f t="shared" si="496"/>
        <v>12000</v>
      </c>
      <c r="AD407" s="689">
        <f t="shared" si="497"/>
        <v>20000</v>
      </c>
      <c r="AE407" s="190">
        <f t="shared" si="498"/>
        <v>20000</v>
      </c>
      <c r="AF407" s="190">
        <f t="shared" si="499"/>
        <v>12000</v>
      </c>
      <c r="AG407" s="689">
        <f t="shared" si="504"/>
        <v>8000</v>
      </c>
      <c r="AH407" s="190">
        <f t="shared" si="505"/>
        <v>1022</v>
      </c>
      <c r="AI407" s="191"/>
      <c r="AJ407" s="191"/>
      <c r="AK407" s="191"/>
      <c r="AL407" s="191"/>
      <c r="AM407" s="191"/>
      <c r="AN407" s="191"/>
      <c r="AO407" s="193"/>
      <c r="AP407" s="193"/>
      <c r="AQ407" s="193"/>
      <c r="AR407" s="193"/>
      <c r="AS407" s="193"/>
      <c r="AT407" s="197"/>
      <c r="AU407" s="197"/>
      <c r="AV407" s="191"/>
      <c r="AW407" s="236">
        <f t="shared" si="500"/>
        <v>5815</v>
      </c>
      <c r="AX407" s="236"/>
    </row>
    <row r="408" spans="2:53" s="71" customFormat="1" ht="33">
      <c r="B408" s="660">
        <f t="shared" si="501"/>
        <v>257</v>
      </c>
      <c r="C408" s="185" t="s">
        <v>322</v>
      </c>
      <c r="D408" s="870" t="s">
        <v>1674</v>
      </c>
      <c r="E408" s="882" t="s">
        <v>1122</v>
      </c>
      <c r="F408" s="660">
        <v>10</v>
      </c>
      <c r="G408" s="187">
        <v>5815</v>
      </c>
      <c r="H408" s="688"/>
      <c r="I408" s="660"/>
      <c r="J408" s="674"/>
      <c r="K408" s="660"/>
      <c r="L408" s="660"/>
      <c r="M408" s="674"/>
      <c r="N408" s="210"/>
      <c r="O408" s="688"/>
      <c r="P408" s="192"/>
      <c r="Q408" s="189"/>
      <c r="R408" s="187">
        <f t="shared" si="494"/>
        <v>5815</v>
      </c>
      <c r="S408" s="187">
        <v>1</v>
      </c>
      <c r="T408" s="660"/>
      <c r="U408" s="660"/>
      <c r="V408" s="674"/>
      <c r="W408" s="660"/>
      <c r="X408" s="674">
        <v>23</v>
      </c>
      <c r="Y408" s="688">
        <v>0.3</v>
      </c>
      <c r="Z408" s="187">
        <f t="shared" si="495"/>
        <v>1744.5</v>
      </c>
      <c r="AA408" s="187">
        <f t="shared" si="503"/>
        <v>440.5</v>
      </c>
      <c r="AB408" s="187">
        <f t="shared" si="502"/>
        <v>8000</v>
      </c>
      <c r="AC408" s="689">
        <f t="shared" si="496"/>
        <v>12000</v>
      </c>
      <c r="AD408" s="689">
        <f t="shared" si="497"/>
        <v>20000</v>
      </c>
      <c r="AE408" s="190">
        <f t="shared" si="498"/>
        <v>20000</v>
      </c>
      <c r="AF408" s="190">
        <f t="shared" si="499"/>
        <v>12000</v>
      </c>
      <c r="AG408" s="689">
        <f t="shared" si="504"/>
        <v>8000</v>
      </c>
      <c r="AH408" s="190">
        <f t="shared" si="505"/>
        <v>440.5</v>
      </c>
      <c r="AI408" s="191"/>
      <c r="AJ408" s="191"/>
      <c r="AK408" s="191"/>
      <c r="AL408" s="191"/>
      <c r="AM408" s="191"/>
      <c r="AN408" s="191"/>
      <c r="AO408" s="193"/>
      <c r="AP408" s="193"/>
      <c r="AQ408" s="193"/>
      <c r="AR408" s="193"/>
      <c r="AS408" s="193"/>
      <c r="AT408" s="197"/>
      <c r="AU408" s="197"/>
      <c r="AV408" s="191"/>
      <c r="AW408" s="236">
        <f t="shared" si="500"/>
        <v>5815</v>
      </c>
      <c r="AX408" s="236"/>
    </row>
    <row r="409" spans="2:53" s="71" customFormat="1" ht="33">
      <c r="B409" s="660">
        <f>B408+1</f>
        <v>258</v>
      </c>
      <c r="C409" s="185" t="s">
        <v>322</v>
      </c>
      <c r="D409" s="870" t="s">
        <v>1674</v>
      </c>
      <c r="E409" s="884" t="s">
        <v>323</v>
      </c>
      <c r="F409" s="660">
        <v>10</v>
      </c>
      <c r="G409" s="187">
        <v>5815</v>
      </c>
      <c r="H409" s="688"/>
      <c r="I409" s="660"/>
      <c r="J409" s="674"/>
      <c r="K409" s="660"/>
      <c r="L409" s="660"/>
      <c r="M409" s="674"/>
      <c r="N409" s="210"/>
      <c r="O409" s="688"/>
      <c r="P409" s="192"/>
      <c r="Q409" s="189"/>
      <c r="R409" s="187">
        <f t="shared" si="494"/>
        <v>5815</v>
      </c>
      <c r="S409" s="187">
        <v>1</v>
      </c>
      <c r="T409" s="660"/>
      <c r="U409" s="660"/>
      <c r="V409" s="674"/>
      <c r="W409" s="660"/>
      <c r="X409" s="674"/>
      <c r="Y409" s="688"/>
      <c r="Z409" s="187">
        <f t="shared" si="495"/>
        <v>0</v>
      </c>
      <c r="AA409" s="187">
        <f t="shared" si="503"/>
        <v>2185</v>
      </c>
      <c r="AB409" s="187">
        <f t="shared" si="502"/>
        <v>8000</v>
      </c>
      <c r="AC409" s="689">
        <f t="shared" si="496"/>
        <v>12000</v>
      </c>
      <c r="AD409" s="689">
        <f t="shared" si="497"/>
        <v>20000</v>
      </c>
      <c r="AE409" s="190">
        <f t="shared" si="498"/>
        <v>20000</v>
      </c>
      <c r="AF409" s="190">
        <f t="shared" si="499"/>
        <v>12000</v>
      </c>
      <c r="AG409" s="689">
        <f t="shared" si="504"/>
        <v>8000</v>
      </c>
      <c r="AH409" s="190">
        <f t="shared" si="505"/>
        <v>2185</v>
      </c>
      <c r="AI409" s="191"/>
      <c r="AJ409" s="191"/>
      <c r="AK409" s="191"/>
      <c r="AL409" s="191"/>
      <c r="AM409" s="191"/>
      <c r="AN409" s="191"/>
      <c r="AO409" s="193"/>
      <c r="AP409" s="193"/>
      <c r="AQ409" s="193"/>
      <c r="AR409" s="193"/>
      <c r="AS409" s="193"/>
      <c r="AT409" s="197"/>
      <c r="AU409" s="197"/>
      <c r="AV409" s="191"/>
      <c r="AW409" s="236">
        <f t="shared" si="500"/>
        <v>5815</v>
      </c>
      <c r="AX409" s="236"/>
    </row>
    <row r="410" spans="2:53" s="71" customFormat="1" ht="33">
      <c r="B410" s="660">
        <f>B409+1</f>
        <v>259</v>
      </c>
      <c r="C410" s="185" t="s">
        <v>324</v>
      </c>
      <c r="D410" s="870"/>
      <c r="E410" s="660" t="s">
        <v>1667</v>
      </c>
      <c r="F410" s="660">
        <v>10</v>
      </c>
      <c r="G410" s="187">
        <v>5815</v>
      </c>
      <c r="H410" s="688"/>
      <c r="I410" s="660"/>
      <c r="J410" s="674"/>
      <c r="K410" s="660"/>
      <c r="L410" s="660"/>
      <c r="M410" s="674"/>
      <c r="N410" s="210"/>
      <c r="O410" s="688"/>
      <c r="P410" s="192"/>
      <c r="Q410" s="189"/>
      <c r="R410" s="187">
        <f t="shared" si="494"/>
        <v>5815</v>
      </c>
      <c r="S410" s="187">
        <v>0.5</v>
      </c>
      <c r="T410" s="660"/>
      <c r="U410" s="660"/>
      <c r="V410" s="674"/>
      <c r="W410" s="660"/>
      <c r="X410" s="674"/>
      <c r="Y410" s="688"/>
      <c r="Z410" s="187">
        <f t="shared" si="495"/>
        <v>0</v>
      </c>
      <c r="AA410" s="187">
        <f t="shared" si="503"/>
        <v>1092.5</v>
      </c>
      <c r="AB410" s="187">
        <f t="shared" si="502"/>
        <v>4000</v>
      </c>
      <c r="AC410" s="689">
        <f t="shared" si="496"/>
        <v>6000</v>
      </c>
      <c r="AD410" s="689">
        <f t="shared" si="497"/>
        <v>10000</v>
      </c>
      <c r="AE410" s="190">
        <f t="shared" si="498"/>
        <v>10000</v>
      </c>
      <c r="AF410" s="190">
        <f t="shared" si="499"/>
        <v>6000</v>
      </c>
      <c r="AG410" s="689">
        <f t="shared" si="504"/>
        <v>4000</v>
      </c>
      <c r="AH410" s="190">
        <f t="shared" si="505"/>
        <v>1092.5</v>
      </c>
      <c r="AI410" s="191"/>
      <c r="AJ410" s="191"/>
      <c r="AK410" s="191"/>
      <c r="AL410" s="191"/>
      <c r="AM410" s="191"/>
      <c r="AN410" s="191"/>
      <c r="AO410" s="193"/>
      <c r="AP410" s="193"/>
      <c r="AQ410" s="193"/>
      <c r="AR410" s="193"/>
      <c r="AS410" s="193"/>
      <c r="AT410" s="197"/>
      <c r="AU410" s="197"/>
      <c r="AV410" s="191"/>
      <c r="AW410" s="236">
        <f t="shared" si="500"/>
        <v>2907.5</v>
      </c>
      <c r="AX410" s="236"/>
    </row>
    <row r="411" spans="2:53" s="71" customFormat="1" ht="33">
      <c r="B411" s="660">
        <f>B410+1</f>
        <v>260</v>
      </c>
      <c r="C411" s="185" t="s">
        <v>325</v>
      </c>
      <c r="D411" s="870" t="s">
        <v>1674</v>
      </c>
      <c r="E411" s="660" t="s">
        <v>326</v>
      </c>
      <c r="F411" s="660">
        <v>10</v>
      </c>
      <c r="G411" s="187">
        <v>5815</v>
      </c>
      <c r="H411" s="687"/>
      <c r="I411" s="187"/>
      <c r="J411" s="687"/>
      <c r="K411" s="187"/>
      <c r="L411" s="187"/>
      <c r="M411" s="687"/>
      <c r="N411" s="187"/>
      <c r="O411" s="687"/>
      <c r="P411" s="187"/>
      <c r="Q411" s="187"/>
      <c r="R411" s="187">
        <f t="shared" si="494"/>
        <v>5815</v>
      </c>
      <c r="S411" s="187"/>
      <c r="T411" s="187">
        <v>0.5</v>
      </c>
      <c r="U411" s="187"/>
      <c r="V411" s="687"/>
      <c r="W411" s="187"/>
      <c r="X411" s="674">
        <v>0</v>
      </c>
      <c r="Y411" s="688">
        <v>0</v>
      </c>
      <c r="Z411" s="187">
        <f t="shared" si="495"/>
        <v>0</v>
      </c>
      <c r="AA411" s="187">
        <f t="shared" si="503"/>
        <v>1092.5</v>
      </c>
      <c r="AB411" s="187">
        <f>(R411+Z411)*T411+AA411</f>
        <v>4000</v>
      </c>
      <c r="AC411" s="689">
        <f t="shared" si="496"/>
        <v>6000</v>
      </c>
      <c r="AD411" s="689">
        <f t="shared" si="497"/>
        <v>10000</v>
      </c>
      <c r="AE411" s="190">
        <f>20000*T411</f>
        <v>10000</v>
      </c>
      <c r="AF411" s="190">
        <f t="shared" si="499"/>
        <v>6000</v>
      </c>
      <c r="AG411" s="689">
        <f>8000*T411</f>
        <v>4000</v>
      </c>
      <c r="AH411" s="190">
        <f>AG411-(R411+Z411)*T411</f>
        <v>1092.5</v>
      </c>
      <c r="AI411" s="191">
        <f>G411*S411</f>
        <v>0</v>
      </c>
      <c r="AJ411" s="191">
        <f>G411*T411</f>
        <v>2907.5</v>
      </c>
      <c r="AK411" s="191">
        <f>R411*S411</f>
        <v>0</v>
      </c>
      <c r="AL411" s="191">
        <f>R411*T411</f>
        <v>2907.5</v>
      </c>
      <c r="AM411" s="191">
        <f>AK411-AI411</f>
        <v>0</v>
      </c>
      <c r="AN411" s="191">
        <f>AL411-AJ411</f>
        <v>0</v>
      </c>
      <c r="AO411" s="193">
        <f>Z411*S411</f>
        <v>0</v>
      </c>
      <c r="AP411" s="193">
        <f>Z411*T411</f>
        <v>0</v>
      </c>
      <c r="AQ411" s="193">
        <f>AA411</f>
        <v>1092.5</v>
      </c>
      <c r="AR411" s="193">
        <f>W411*S411</f>
        <v>0</v>
      </c>
      <c r="AS411" s="193">
        <f>W411*T411</f>
        <v>0</v>
      </c>
      <c r="AT411" s="197">
        <f>AK411</f>
        <v>0</v>
      </c>
      <c r="AU411" s="197">
        <f>AL411</f>
        <v>2907.5</v>
      </c>
      <c r="AV411" s="191"/>
      <c r="AW411" s="236">
        <f>R411*T411</f>
        <v>2907.5</v>
      </c>
      <c r="AX411" s="236"/>
    </row>
    <row r="412" spans="2:53" s="71" customFormat="1" ht="31.5">
      <c r="B412" s="660"/>
      <c r="C412" s="168" t="s">
        <v>1662</v>
      </c>
      <c r="D412" s="195"/>
      <c r="E412" s="181"/>
      <c r="F412" s="181"/>
      <c r="G412" s="171">
        <f>SUM(G402:G411)</f>
        <v>59588</v>
      </c>
      <c r="H412" s="703"/>
      <c r="I412" s="171">
        <f>SUM(I402:I411)</f>
        <v>0</v>
      </c>
      <c r="J412" s="682"/>
      <c r="K412" s="181"/>
      <c r="L412" s="181"/>
      <c r="M412" s="682"/>
      <c r="N412" s="181"/>
      <c r="O412" s="682"/>
      <c r="P412" s="171">
        <f>SUM(P402:P411)</f>
        <v>0</v>
      </c>
      <c r="Q412" s="181"/>
      <c r="R412" s="171">
        <f>SUM(R402:R411)</f>
        <v>59588</v>
      </c>
      <c r="S412" s="171">
        <f>SUM(S402:S411)</f>
        <v>7.5</v>
      </c>
      <c r="T412" s="171">
        <f>SUM(T402:T411)</f>
        <v>1</v>
      </c>
      <c r="U412" s="171"/>
      <c r="V412" s="693"/>
      <c r="W412" s="171"/>
      <c r="X412" s="693"/>
      <c r="Y412" s="693"/>
      <c r="Z412" s="171">
        <f>SUM(Z402:Z411)</f>
        <v>10316.9</v>
      </c>
      <c r="AA412" s="171">
        <f>SUM(AA402:AA411)</f>
        <v>9339</v>
      </c>
      <c r="AB412" s="171">
        <f>SUM(AB402:AB411)</f>
        <v>68714.45</v>
      </c>
      <c r="AC412" s="171">
        <f>SUM(AC402:AC411)</f>
        <v>101285.55</v>
      </c>
      <c r="AD412" s="171">
        <f>SUM(AD402)</f>
        <v>20000</v>
      </c>
      <c r="AE412" s="171">
        <f t="shared" ref="AE412:AX412" si="506">SUM(AE402)</f>
        <v>20000</v>
      </c>
      <c r="AF412" s="171">
        <f t="shared" si="506"/>
        <v>12000</v>
      </c>
      <c r="AG412" s="171">
        <f t="shared" si="506"/>
        <v>8000</v>
      </c>
      <c r="AH412" s="171">
        <f t="shared" si="506"/>
        <v>440.5</v>
      </c>
      <c r="AI412" s="171">
        <f t="shared" si="506"/>
        <v>5815</v>
      </c>
      <c r="AJ412" s="171">
        <f t="shared" si="506"/>
        <v>0</v>
      </c>
      <c r="AK412" s="171">
        <f t="shared" si="506"/>
        <v>5815</v>
      </c>
      <c r="AL412" s="171">
        <f t="shared" si="506"/>
        <v>0</v>
      </c>
      <c r="AM412" s="171">
        <f t="shared" si="506"/>
        <v>0</v>
      </c>
      <c r="AN412" s="171">
        <f t="shared" si="506"/>
        <v>0</v>
      </c>
      <c r="AO412" s="171">
        <f t="shared" si="506"/>
        <v>1744.5</v>
      </c>
      <c r="AP412" s="171">
        <f t="shared" si="506"/>
        <v>0</v>
      </c>
      <c r="AQ412" s="171">
        <f t="shared" si="506"/>
        <v>440.5</v>
      </c>
      <c r="AR412" s="171">
        <f t="shared" si="506"/>
        <v>0</v>
      </c>
      <c r="AS412" s="171">
        <f t="shared" si="506"/>
        <v>0</v>
      </c>
      <c r="AT412" s="171">
        <f t="shared" si="506"/>
        <v>5815</v>
      </c>
      <c r="AU412" s="171">
        <f t="shared" si="506"/>
        <v>0</v>
      </c>
      <c r="AV412" s="171">
        <f t="shared" si="506"/>
        <v>0</v>
      </c>
      <c r="AW412" s="171">
        <f t="shared" si="506"/>
        <v>5815</v>
      </c>
      <c r="AX412" s="171">
        <f t="shared" si="506"/>
        <v>0</v>
      </c>
    </row>
    <row r="413" spans="2:53" s="69" customFormat="1" ht="33">
      <c r="B413" s="660"/>
      <c r="C413" s="208" t="s">
        <v>1508</v>
      </c>
      <c r="D413" s="180"/>
      <c r="E413" s="181"/>
      <c r="F413" s="181"/>
      <c r="G413" s="181"/>
      <c r="H413" s="682"/>
      <c r="I413" s="181"/>
      <c r="J413" s="682"/>
      <c r="K413" s="181"/>
      <c r="L413" s="181"/>
      <c r="M413" s="682"/>
      <c r="N413" s="181"/>
      <c r="O413" s="682"/>
      <c r="P413" s="181"/>
      <c r="Q413" s="181"/>
      <c r="R413" s="181"/>
      <c r="S413" s="181"/>
      <c r="T413" s="181"/>
      <c r="U413" s="181"/>
      <c r="V413" s="683"/>
      <c r="W413" s="181"/>
      <c r="X413" s="683"/>
      <c r="Y413" s="683"/>
      <c r="Z413" s="181"/>
      <c r="AA413" s="181"/>
      <c r="AB413" s="181"/>
      <c r="AC413" s="183"/>
      <c r="AD413" s="183"/>
      <c r="AE413" s="183"/>
      <c r="AF413" s="183"/>
      <c r="AG413" s="183"/>
      <c r="AH413" s="183"/>
      <c r="AI413" s="191"/>
      <c r="AJ413" s="191"/>
      <c r="AK413" s="191"/>
      <c r="AL413" s="191"/>
      <c r="AM413" s="191"/>
      <c r="AN413" s="191"/>
      <c r="AO413" s="193"/>
      <c r="AP413" s="193"/>
      <c r="AQ413" s="193"/>
      <c r="AR413" s="193"/>
      <c r="AS413" s="193"/>
      <c r="AT413" s="197"/>
      <c r="AU413" s="197"/>
      <c r="AV413" s="191"/>
      <c r="AW413" s="236"/>
      <c r="AX413" s="236"/>
    </row>
    <row r="414" spans="2:53" s="71" customFormat="1" ht="33">
      <c r="B414" s="660">
        <f>B411+1</f>
        <v>261</v>
      </c>
      <c r="C414" s="185" t="s">
        <v>327</v>
      </c>
      <c r="D414" s="186" t="s">
        <v>1674</v>
      </c>
      <c r="E414" s="660" t="s">
        <v>1667</v>
      </c>
      <c r="F414" s="660">
        <v>6</v>
      </c>
      <c r="G414" s="187">
        <v>4633</v>
      </c>
      <c r="H414" s="687"/>
      <c r="I414" s="187"/>
      <c r="J414" s="688"/>
      <c r="K414" s="189"/>
      <c r="L414" s="189"/>
      <c r="M414" s="687"/>
      <c r="N414" s="187"/>
      <c r="O414" s="688"/>
      <c r="P414" s="192"/>
      <c r="Q414" s="194"/>
      <c r="R414" s="187">
        <f t="shared" ref="R414:R420" si="507">G414+I414+K414+L414+N414+P414+Q414</f>
        <v>4633</v>
      </c>
      <c r="S414" s="187">
        <v>1</v>
      </c>
      <c r="T414" s="187"/>
      <c r="U414" s="194"/>
      <c r="V414" s="692"/>
      <c r="W414" s="194"/>
      <c r="X414" s="674">
        <v>0</v>
      </c>
      <c r="Y414" s="688">
        <v>0</v>
      </c>
      <c r="Z414" s="187">
        <f t="shared" ref="Z414:Z420" si="508">R414*Y414</f>
        <v>0</v>
      </c>
      <c r="AA414" s="187">
        <f t="shared" ref="AA414:AA420" si="509">AH414</f>
        <v>3367</v>
      </c>
      <c r="AB414" s="187">
        <f>(R414+Z414)*S414+AA414</f>
        <v>8000</v>
      </c>
      <c r="AC414" s="689">
        <f t="shared" ref="AC414:AC424" si="510">AF414</f>
        <v>5500</v>
      </c>
      <c r="AD414" s="689">
        <f t="shared" ref="AD414:AD424" si="511">AB414+AC414</f>
        <v>13500</v>
      </c>
      <c r="AE414" s="190">
        <f>13500*S414</f>
        <v>13500</v>
      </c>
      <c r="AF414" s="190">
        <f t="shared" ref="AF414:AF424" si="512">AE414-AB414</f>
        <v>5500</v>
      </c>
      <c r="AG414" s="689">
        <f>8000*S414</f>
        <v>8000</v>
      </c>
      <c r="AH414" s="190">
        <f>AG414-(R414+Z414)*S414</f>
        <v>3367</v>
      </c>
      <c r="AI414" s="191">
        <f t="shared" ref="AI414:AI425" si="513">G414*S414</f>
        <v>4633</v>
      </c>
      <c r="AJ414" s="191">
        <f t="shared" ref="AJ414:AJ425" si="514">G414*T414</f>
        <v>0</v>
      </c>
      <c r="AK414" s="191">
        <f t="shared" ref="AK414:AK425" si="515">R414*S414</f>
        <v>4633</v>
      </c>
      <c r="AL414" s="191">
        <f t="shared" ref="AL414:AL425" si="516">R414*T414</f>
        <v>0</v>
      </c>
      <c r="AM414" s="191">
        <f t="shared" ref="AM414:AN425" si="517">AK414-AI414</f>
        <v>0</v>
      </c>
      <c r="AN414" s="191">
        <f t="shared" si="517"/>
        <v>0</v>
      </c>
      <c r="AO414" s="193">
        <f t="shared" ref="AO414:AO425" si="518">Z414*S414</f>
        <v>0</v>
      </c>
      <c r="AP414" s="193">
        <f t="shared" ref="AP414:AP425" si="519">Z414*T414</f>
        <v>0</v>
      </c>
      <c r="AQ414" s="193">
        <f t="shared" ref="AQ414:AQ425" si="520">AA414</f>
        <v>3367</v>
      </c>
      <c r="AR414" s="193">
        <f t="shared" ref="AR414:AR425" si="521">W414*S414</f>
        <v>0</v>
      </c>
      <c r="AS414" s="193">
        <f t="shared" ref="AS414:AS425" si="522">W414*T414</f>
        <v>0</v>
      </c>
      <c r="AT414" s="197">
        <f t="shared" ref="AT414:AU418" si="523">AK414</f>
        <v>4633</v>
      </c>
      <c r="AU414" s="197">
        <f t="shared" si="523"/>
        <v>0</v>
      </c>
      <c r="AV414" s="191"/>
      <c r="AW414" s="236">
        <f t="shared" ref="AW414:AW424" si="524">R414*S414</f>
        <v>4633</v>
      </c>
      <c r="AX414" s="236"/>
    </row>
    <row r="415" spans="2:53" s="71" customFormat="1" ht="58.5">
      <c r="B415" s="660">
        <f>1+B414</f>
        <v>262</v>
      </c>
      <c r="C415" s="185" t="s">
        <v>327</v>
      </c>
      <c r="D415" s="186" t="s">
        <v>264</v>
      </c>
      <c r="E415" s="660" t="s">
        <v>1125</v>
      </c>
      <c r="F415" s="660">
        <v>9</v>
      </c>
      <c r="G415" s="187">
        <v>5527</v>
      </c>
      <c r="H415" s="687"/>
      <c r="I415" s="187"/>
      <c r="J415" s="687"/>
      <c r="K415" s="187"/>
      <c r="L415" s="187"/>
      <c r="M415" s="687"/>
      <c r="N415" s="187"/>
      <c r="O415" s="688"/>
      <c r="P415" s="192"/>
      <c r="Q415" s="187"/>
      <c r="R415" s="187">
        <f t="shared" si="507"/>
        <v>5527</v>
      </c>
      <c r="S415" s="187">
        <v>1</v>
      </c>
      <c r="T415" s="187"/>
      <c r="U415" s="187"/>
      <c r="V415" s="687"/>
      <c r="W415" s="187"/>
      <c r="X415" s="674">
        <v>27</v>
      </c>
      <c r="Y415" s="688">
        <v>0.3</v>
      </c>
      <c r="Z415" s="187">
        <f t="shared" si="508"/>
        <v>1658.1</v>
      </c>
      <c r="AA415" s="187">
        <f t="shared" si="509"/>
        <v>814.89999999999964</v>
      </c>
      <c r="AB415" s="187">
        <f>(R415+Z415)*S415+AA415</f>
        <v>8000</v>
      </c>
      <c r="AC415" s="689">
        <f t="shared" si="510"/>
        <v>5500</v>
      </c>
      <c r="AD415" s="689">
        <f t="shared" si="511"/>
        <v>13500</v>
      </c>
      <c r="AE415" s="190">
        <f>13500*S415</f>
        <v>13500</v>
      </c>
      <c r="AF415" s="190">
        <f t="shared" si="512"/>
        <v>5500</v>
      </c>
      <c r="AG415" s="689">
        <f>8000*S415</f>
        <v>8000</v>
      </c>
      <c r="AH415" s="190">
        <f>AG415-(R415+Z415)*S415</f>
        <v>814.89999999999964</v>
      </c>
      <c r="AI415" s="191">
        <f t="shared" si="513"/>
        <v>5527</v>
      </c>
      <c r="AJ415" s="191">
        <f t="shared" si="514"/>
        <v>0</v>
      </c>
      <c r="AK415" s="191">
        <f>R415*S415</f>
        <v>5527</v>
      </c>
      <c r="AL415" s="191">
        <f>R415*T415</f>
        <v>0</v>
      </c>
      <c r="AM415" s="191">
        <f>AK415-AI415</f>
        <v>0</v>
      </c>
      <c r="AN415" s="191">
        <f>AL415-AJ415</f>
        <v>0</v>
      </c>
      <c r="AO415" s="193">
        <f>Z415*S415</f>
        <v>1658.1</v>
      </c>
      <c r="AP415" s="193">
        <f>Z415*T415</f>
        <v>0</v>
      </c>
      <c r="AQ415" s="193">
        <f>AA415</f>
        <v>814.89999999999964</v>
      </c>
      <c r="AR415" s="193">
        <f>W415*S415</f>
        <v>0</v>
      </c>
      <c r="AS415" s="193">
        <f>W415*T415</f>
        <v>0</v>
      </c>
      <c r="AT415" s="197">
        <f t="shared" si="523"/>
        <v>5527</v>
      </c>
      <c r="AU415" s="197">
        <f t="shared" si="523"/>
        <v>0</v>
      </c>
      <c r="AV415" s="191"/>
      <c r="AW415" s="236">
        <f t="shared" si="524"/>
        <v>5527</v>
      </c>
      <c r="AX415" s="236"/>
    </row>
    <row r="416" spans="2:53" s="71" customFormat="1" ht="58.5">
      <c r="B416" s="660">
        <f>1+B415</f>
        <v>263</v>
      </c>
      <c r="C416" s="185" t="s">
        <v>328</v>
      </c>
      <c r="D416" s="186" t="s">
        <v>1123</v>
      </c>
      <c r="E416" s="660" t="s">
        <v>1124</v>
      </c>
      <c r="F416" s="660">
        <v>9</v>
      </c>
      <c r="G416" s="187">
        <v>5527</v>
      </c>
      <c r="H416" s="687"/>
      <c r="I416" s="187"/>
      <c r="J416" s="687"/>
      <c r="K416" s="187"/>
      <c r="L416" s="187"/>
      <c r="M416" s="687"/>
      <c r="N416" s="187"/>
      <c r="O416" s="688"/>
      <c r="P416" s="192"/>
      <c r="Q416" s="187"/>
      <c r="R416" s="187">
        <f t="shared" si="507"/>
        <v>5527</v>
      </c>
      <c r="S416" s="187">
        <v>1</v>
      </c>
      <c r="T416" s="194"/>
      <c r="U416" s="194"/>
      <c r="V416" s="692"/>
      <c r="W416" s="194"/>
      <c r="X416" s="674">
        <v>28</v>
      </c>
      <c r="Y416" s="688">
        <v>0.3</v>
      </c>
      <c r="Z416" s="187">
        <f t="shared" si="508"/>
        <v>1658.1</v>
      </c>
      <c r="AA416" s="187">
        <f t="shared" si="509"/>
        <v>814.89999999999964</v>
      </c>
      <c r="AB416" s="187">
        <f>(R416+Z416)*S416+AA416</f>
        <v>8000</v>
      </c>
      <c r="AC416" s="689">
        <f t="shared" si="510"/>
        <v>5500</v>
      </c>
      <c r="AD416" s="689">
        <f t="shared" si="511"/>
        <v>13500</v>
      </c>
      <c r="AE416" s="190">
        <f>13500*S416</f>
        <v>13500</v>
      </c>
      <c r="AF416" s="190">
        <f t="shared" si="512"/>
        <v>5500</v>
      </c>
      <c r="AG416" s="689">
        <f>8000*S416</f>
        <v>8000</v>
      </c>
      <c r="AH416" s="190">
        <f>AG416-(R416+Z416)*S416</f>
        <v>814.89999999999964</v>
      </c>
      <c r="AI416" s="191">
        <f t="shared" si="513"/>
        <v>5527</v>
      </c>
      <c r="AJ416" s="191">
        <f t="shared" si="514"/>
        <v>0</v>
      </c>
      <c r="AK416" s="191">
        <f t="shared" si="515"/>
        <v>5527</v>
      </c>
      <c r="AL416" s="191">
        <f t="shared" si="516"/>
        <v>0</v>
      </c>
      <c r="AM416" s="191">
        <f t="shared" si="517"/>
        <v>0</v>
      </c>
      <c r="AN416" s="191">
        <f t="shared" si="517"/>
        <v>0</v>
      </c>
      <c r="AO416" s="193">
        <f t="shared" si="518"/>
        <v>1658.1</v>
      </c>
      <c r="AP416" s="193">
        <f t="shared" si="519"/>
        <v>0</v>
      </c>
      <c r="AQ416" s="193">
        <f t="shared" si="520"/>
        <v>814.89999999999964</v>
      </c>
      <c r="AR416" s="193">
        <f t="shared" si="521"/>
        <v>0</v>
      </c>
      <c r="AS416" s="193">
        <f t="shared" si="522"/>
        <v>0</v>
      </c>
      <c r="AT416" s="197">
        <f t="shared" si="523"/>
        <v>5527</v>
      </c>
      <c r="AU416" s="197">
        <f t="shared" si="523"/>
        <v>0</v>
      </c>
      <c r="AV416" s="191"/>
      <c r="AW416" s="236">
        <f t="shared" si="524"/>
        <v>5527</v>
      </c>
      <c r="AX416" s="236"/>
    </row>
    <row r="417" spans="2:53" s="71" customFormat="1" ht="58.5">
      <c r="B417" s="660">
        <f>1+B416</f>
        <v>264</v>
      </c>
      <c r="C417" s="185" t="s">
        <v>328</v>
      </c>
      <c r="D417" s="186" t="s">
        <v>1087</v>
      </c>
      <c r="E417" s="660" t="s">
        <v>1121</v>
      </c>
      <c r="F417" s="660">
        <v>9</v>
      </c>
      <c r="G417" s="187">
        <v>5527</v>
      </c>
      <c r="H417" s="687"/>
      <c r="I417" s="187"/>
      <c r="J417" s="687"/>
      <c r="K417" s="187"/>
      <c r="L417" s="187"/>
      <c r="M417" s="687"/>
      <c r="N417" s="187"/>
      <c r="O417" s="688"/>
      <c r="P417" s="192"/>
      <c r="Q417" s="187"/>
      <c r="R417" s="187">
        <f t="shared" si="507"/>
        <v>5527</v>
      </c>
      <c r="S417" s="187">
        <v>1</v>
      </c>
      <c r="T417" s="187"/>
      <c r="U417" s="187"/>
      <c r="V417" s="687"/>
      <c r="W417" s="187"/>
      <c r="X417" s="674">
        <v>20</v>
      </c>
      <c r="Y417" s="688">
        <v>0.3</v>
      </c>
      <c r="Z417" s="187">
        <f t="shared" si="508"/>
        <v>1658.1</v>
      </c>
      <c r="AA417" s="187">
        <f t="shared" si="509"/>
        <v>814.89999999999964</v>
      </c>
      <c r="AB417" s="187">
        <f>(R417+Z417)*S417+AA417</f>
        <v>8000</v>
      </c>
      <c r="AC417" s="689">
        <f t="shared" si="510"/>
        <v>5500</v>
      </c>
      <c r="AD417" s="689">
        <f t="shared" si="511"/>
        <v>13500</v>
      </c>
      <c r="AE417" s="190">
        <f>13500*S417</f>
        <v>13500</v>
      </c>
      <c r="AF417" s="190">
        <f t="shared" si="512"/>
        <v>5500</v>
      </c>
      <c r="AG417" s="689">
        <f>8000*S417</f>
        <v>8000</v>
      </c>
      <c r="AH417" s="190">
        <f>AG417-(R417+Z417)*S417</f>
        <v>814.89999999999964</v>
      </c>
      <c r="AI417" s="191">
        <f t="shared" si="513"/>
        <v>5527</v>
      </c>
      <c r="AJ417" s="191">
        <f t="shared" si="514"/>
        <v>0</v>
      </c>
      <c r="AK417" s="191">
        <f t="shared" si="515"/>
        <v>5527</v>
      </c>
      <c r="AL417" s="191">
        <f t="shared" si="516"/>
        <v>0</v>
      </c>
      <c r="AM417" s="191">
        <f t="shared" si="517"/>
        <v>0</v>
      </c>
      <c r="AN417" s="191">
        <f t="shared" si="517"/>
        <v>0</v>
      </c>
      <c r="AO417" s="193">
        <f t="shared" si="518"/>
        <v>1658.1</v>
      </c>
      <c r="AP417" s="193">
        <f t="shared" si="519"/>
        <v>0</v>
      </c>
      <c r="AQ417" s="193">
        <f t="shared" si="520"/>
        <v>814.89999999999964</v>
      </c>
      <c r="AR417" s="193">
        <f t="shared" si="521"/>
        <v>0</v>
      </c>
      <c r="AS417" s="193">
        <f t="shared" si="522"/>
        <v>0</v>
      </c>
      <c r="AT417" s="197">
        <f t="shared" si="523"/>
        <v>5527</v>
      </c>
      <c r="AU417" s="197">
        <f t="shared" si="523"/>
        <v>0</v>
      </c>
      <c r="AV417" s="191"/>
      <c r="AW417" s="236">
        <f t="shared" si="524"/>
        <v>5527</v>
      </c>
      <c r="AX417" s="236"/>
    </row>
    <row r="418" spans="2:53" s="71" customFormat="1" ht="58.5">
      <c r="B418" s="660">
        <f>1+B417</f>
        <v>265</v>
      </c>
      <c r="C418" s="185" t="s">
        <v>329</v>
      </c>
      <c r="D418" s="186" t="s">
        <v>330</v>
      </c>
      <c r="E418" s="660" t="s">
        <v>118</v>
      </c>
      <c r="F418" s="660">
        <v>9</v>
      </c>
      <c r="G418" s="187">
        <v>5527</v>
      </c>
      <c r="H418" s="687"/>
      <c r="I418" s="187"/>
      <c r="J418" s="687"/>
      <c r="K418" s="187"/>
      <c r="L418" s="187"/>
      <c r="M418" s="687"/>
      <c r="N418" s="187"/>
      <c r="O418" s="688"/>
      <c r="P418" s="192"/>
      <c r="Q418" s="187"/>
      <c r="R418" s="187">
        <f t="shared" si="507"/>
        <v>5527</v>
      </c>
      <c r="S418" s="187"/>
      <c r="T418" s="187">
        <v>0.25</v>
      </c>
      <c r="U418" s="187"/>
      <c r="V418" s="687"/>
      <c r="W418" s="187"/>
      <c r="X418" s="674">
        <v>28</v>
      </c>
      <c r="Y418" s="688">
        <v>0.3</v>
      </c>
      <c r="Z418" s="187">
        <f t="shared" si="508"/>
        <v>1658.1</v>
      </c>
      <c r="AA418" s="187">
        <f t="shared" si="509"/>
        <v>203.72499999999991</v>
      </c>
      <c r="AB418" s="187">
        <f>(R418+Z418)*T418+AA418</f>
        <v>2000</v>
      </c>
      <c r="AC418" s="689">
        <f t="shared" si="510"/>
        <v>1375</v>
      </c>
      <c r="AD418" s="689">
        <f>AB418+AC418</f>
        <v>3375</v>
      </c>
      <c r="AE418" s="190">
        <f>13500*T418</f>
        <v>3375</v>
      </c>
      <c r="AF418" s="190">
        <f>AE418-AB418</f>
        <v>1375</v>
      </c>
      <c r="AG418" s="689">
        <f>8000*T418</f>
        <v>2000</v>
      </c>
      <c r="AH418" s="190">
        <f>AG418-(R418+Z418)*T418</f>
        <v>203.72499999999991</v>
      </c>
      <c r="AI418" s="191">
        <f t="shared" si="513"/>
        <v>0</v>
      </c>
      <c r="AJ418" s="191">
        <f t="shared" si="514"/>
        <v>1381.75</v>
      </c>
      <c r="AK418" s="191">
        <f t="shared" si="515"/>
        <v>0</v>
      </c>
      <c r="AL418" s="191">
        <f t="shared" si="516"/>
        <v>1381.75</v>
      </c>
      <c r="AM418" s="191">
        <f t="shared" si="517"/>
        <v>0</v>
      </c>
      <c r="AN418" s="191">
        <f t="shared" si="517"/>
        <v>0</v>
      </c>
      <c r="AO418" s="193">
        <f t="shared" si="518"/>
        <v>0</v>
      </c>
      <c r="AP418" s="193">
        <f t="shared" si="519"/>
        <v>414.52499999999998</v>
      </c>
      <c r="AQ418" s="193">
        <f t="shared" si="520"/>
        <v>203.72499999999991</v>
      </c>
      <c r="AR418" s="193">
        <f t="shared" si="521"/>
        <v>0</v>
      </c>
      <c r="AS418" s="193">
        <f t="shared" si="522"/>
        <v>0</v>
      </c>
      <c r="AT418" s="197">
        <f t="shared" si="523"/>
        <v>0</v>
      </c>
      <c r="AU418" s="197">
        <f t="shared" si="523"/>
        <v>1381.75</v>
      </c>
      <c r="AV418" s="191"/>
      <c r="AW418" s="236">
        <f>R418*T418</f>
        <v>1381.75</v>
      </c>
      <c r="AX418" s="236"/>
    </row>
    <row r="419" spans="2:53" s="71" customFormat="1" ht="33">
      <c r="B419" s="660"/>
      <c r="C419" s="185" t="s">
        <v>331</v>
      </c>
      <c r="D419" s="186" t="s">
        <v>331</v>
      </c>
      <c r="E419" s="660" t="s">
        <v>331</v>
      </c>
      <c r="F419" s="660"/>
      <c r="G419" s="187"/>
      <c r="H419" s="687"/>
      <c r="I419" s="187"/>
      <c r="J419" s="687"/>
      <c r="K419" s="187"/>
      <c r="L419" s="187"/>
      <c r="M419" s="687"/>
      <c r="N419" s="187"/>
      <c r="O419" s="688"/>
      <c r="P419" s="192"/>
      <c r="Q419" s="187"/>
      <c r="R419" s="187">
        <f t="shared" si="507"/>
        <v>0</v>
      </c>
      <c r="S419" s="187"/>
      <c r="T419" s="187"/>
      <c r="U419" s="187"/>
      <c r="V419" s="687"/>
      <c r="W419" s="187"/>
      <c r="X419" s="674"/>
      <c r="Y419" s="688"/>
      <c r="Z419" s="187">
        <f t="shared" si="508"/>
        <v>0</v>
      </c>
      <c r="AA419" s="187">
        <f t="shared" si="509"/>
        <v>0</v>
      </c>
      <c r="AB419" s="187">
        <f>(R419+Z419)*S419+AA419</f>
        <v>0</v>
      </c>
      <c r="AC419" s="689">
        <f t="shared" si="510"/>
        <v>0</v>
      </c>
      <c r="AD419" s="689">
        <f>AB419+AC419</f>
        <v>0</v>
      </c>
      <c r="AE419" s="190">
        <f>13500*S419</f>
        <v>0</v>
      </c>
      <c r="AF419" s="190">
        <f>AE419-AB419</f>
        <v>0</v>
      </c>
      <c r="AG419" s="689">
        <f>8000*S419</f>
        <v>0</v>
      </c>
      <c r="AH419" s="190">
        <f>AG419-(R419+Z419)*S419</f>
        <v>0</v>
      </c>
      <c r="AI419" s="191"/>
      <c r="AJ419" s="191"/>
      <c r="AK419" s="191"/>
      <c r="AL419" s="191"/>
      <c r="AM419" s="191"/>
      <c r="AN419" s="191"/>
      <c r="AO419" s="193"/>
      <c r="AP419" s="193"/>
      <c r="AQ419" s="193"/>
      <c r="AR419" s="193"/>
      <c r="AS419" s="193"/>
      <c r="AT419" s="197"/>
      <c r="AU419" s="197"/>
      <c r="AV419" s="191"/>
      <c r="AW419" s="236">
        <f>R419*S419</f>
        <v>0</v>
      </c>
      <c r="AX419" s="236"/>
    </row>
    <row r="420" spans="2:53" s="71" customFormat="1" ht="58.5">
      <c r="B420" s="660">
        <f>B418+1</f>
        <v>266</v>
      </c>
      <c r="C420" s="185" t="s">
        <v>332</v>
      </c>
      <c r="D420" s="186" t="s">
        <v>285</v>
      </c>
      <c r="E420" s="660" t="s">
        <v>1127</v>
      </c>
      <c r="F420" s="660">
        <v>9</v>
      </c>
      <c r="G420" s="187">
        <v>5527</v>
      </c>
      <c r="H420" s="687"/>
      <c r="I420" s="187"/>
      <c r="J420" s="687"/>
      <c r="K420" s="187"/>
      <c r="L420" s="187"/>
      <c r="M420" s="687"/>
      <c r="N420" s="187"/>
      <c r="O420" s="687"/>
      <c r="P420" s="187"/>
      <c r="Q420" s="187"/>
      <c r="R420" s="187">
        <f t="shared" si="507"/>
        <v>5527</v>
      </c>
      <c r="S420" s="187">
        <v>1</v>
      </c>
      <c r="T420" s="187"/>
      <c r="U420" s="187"/>
      <c r="V420" s="687"/>
      <c r="W420" s="187"/>
      <c r="X420" s="674">
        <v>30</v>
      </c>
      <c r="Y420" s="688">
        <v>0.3</v>
      </c>
      <c r="Z420" s="187">
        <f t="shared" si="508"/>
        <v>1658.1</v>
      </c>
      <c r="AA420" s="187">
        <f t="shared" si="509"/>
        <v>814.89999999999964</v>
      </c>
      <c r="AB420" s="187">
        <f>(R420+Z420)*S420+AA420</f>
        <v>8000</v>
      </c>
      <c r="AC420" s="689">
        <f>AF420</f>
        <v>5500</v>
      </c>
      <c r="AD420" s="689">
        <f>AB420+AC420</f>
        <v>13500</v>
      </c>
      <c r="AE420" s="190">
        <f>13500*S420</f>
        <v>13500</v>
      </c>
      <c r="AF420" s="190">
        <f>AE420-AB420</f>
        <v>5500</v>
      </c>
      <c r="AG420" s="689">
        <f>8000*S420</f>
        <v>8000</v>
      </c>
      <c r="AH420" s="190">
        <f>AG420-(R420+Z420)*S420</f>
        <v>814.89999999999964</v>
      </c>
      <c r="AI420" s="191">
        <f t="shared" si="513"/>
        <v>5527</v>
      </c>
      <c r="AJ420" s="191">
        <f t="shared" si="514"/>
        <v>0</v>
      </c>
      <c r="AK420" s="191">
        <f t="shared" si="515"/>
        <v>5527</v>
      </c>
      <c r="AL420" s="191">
        <f t="shared" si="516"/>
        <v>0</v>
      </c>
      <c r="AM420" s="191">
        <f t="shared" si="517"/>
        <v>0</v>
      </c>
      <c r="AN420" s="191">
        <f t="shared" si="517"/>
        <v>0</v>
      </c>
      <c r="AO420" s="193">
        <f t="shared" si="518"/>
        <v>1658.1</v>
      </c>
      <c r="AP420" s="193">
        <f t="shared" si="519"/>
        <v>0</v>
      </c>
      <c r="AQ420" s="193">
        <f t="shared" si="520"/>
        <v>814.89999999999964</v>
      </c>
      <c r="AR420" s="193">
        <f t="shared" si="521"/>
        <v>0</v>
      </c>
      <c r="AS420" s="193">
        <f t="shared" si="522"/>
        <v>0</v>
      </c>
      <c r="AT420" s="197">
        <f>AK420</f>
        <v>5527</v>
      </c>
      <c r="AU420" s="197">
        <f>AL420</f>
        <v>0</v>
      </c>
      <c r="AV420" s="191"/>
      <c r="AW420" s="236">
        <f>R420*S420</f>
        <v>5527</v>
      </c>
      <c r="AX420" s="236"/>
    </row>
    <row r="421" spans="2:53" s="71" customFormat="1" ht="33">
      <c r="B421" s="660"/>
      <c r="C421" s="168" t="s">
        <v>1662</v>
      </c>
      <c r="D421" s="186"/>
      <c r="E421" s="660"/>
      <c r="F421" s="660"/>
      <c r="G421" s="187"/>
      <c r="H421" s="687"/>
      <c r="I421" s="187"/>
      <c r="J421" s="687"/>
      <c r="K421" s="187"/>
      <c r="L421" s="187"/>
      <c r="M421" s="687"/>
      <c r="N421" s="187"/>
      <c r="O421" s="687"/>
      <c r="P421" s="187"/>
      <c r="Q421" s="187"/>
      <c r="R421" s="198">
        <f>SUM(R414:R420)</f>
        <v>32268</v>
      </c>
      <c r="S421" s="198">
        <f>SUM(S414:S420)</f>
        <v>5</v>
      </c>
      <c r="T421" s="198">
        <f>SUM(T414:T420)</f>
        <v>0.25</v>
      </c>
      <c r="U421" s="187"/>
      <c r="V421" s="687"/>
      <c r="W421" s="187"/>
      <c r="X421" s="674"/>
      <c r="Y421" s="688"/>
      <c r="Z421" s="198">
        <f>SUM(Z414:Z420)</f>
        <v>8290.5</v>
      </c>
      <c r="AA421" s="198">
        <f>SUM(AA414:AA420)</f>
        <v>6830.3249999999989</v>
      </c>
      <c r="AB421" s="198">
        <f>SUM(AB414:AB420)</f>
        <v>42000</v>
      </c>
      <c r="AC421" s="198">
        <f>SUM(AC414:AC420)</f>
        <v>28875</v>
      </c>
      <c r="AD421" s="198">
        <f>SUM(AD414:AD420)</f>
        <v>70875</v>
      </c>
      <c r="AE421" s="198">
        <f t="shared" ref="AE421:AW421" si="525">SUM(AE414:AE420)</f>
        <v>70875</v>
      </c>
      <c r="AF421" s="198">
        <f t="shared" si="525"/>
        <v>28875</v>
      </c>
      <c r="AG421" s="198">
        <f t="shared" si="525"/>
        <v>42000</v>
      </c>
      <c r="AH421" s="198">
        <f t="shared" si="525"/>
        <v>6830.3249999999989</v>
      </c>
      <c r="AI421" s="198">
        <f t="shared" si="525"/>
        <v>26741</v>
      </c>
      <c r="AJ421" s="198">
        <f t="shared" si="525"/>
        <v>1381.75</v>
      </c>
      <c r="AK421" s="198">
        <f t="shared" si="525"/>
        <v>26741</v>
      </c>
      <c r="AL421" s="198">
        <f t="shared" si="525"/>
        <v>1381.75</v>
      </c>
      <c r="AM421" s="198">
        <f t="shared" si="525"/>
        <v>0</v>
      </c>
      <c r="AN421" s="198">
        <f t="shared" si="525"/>
        <v>0</v>
      </c>
      <c r="AO421" s="198">
        <f t="shared" si="525"/>
        <v>6632.4</v>
      </c>
      <c r="AP421" s="198">
        <f t="shared" si="525"/>
        <v>414.52499999999998</v>
      </c>
      <c r="AQ421" s="198">
        <f t="shared" si="525"/>
        <v>6830.3249999999989</v>
      </c>
      <c r="AR421" s="198">
        <f t="shared" si="525"/>
        <v>0</v>
      </c>
      <c r="AS421" s="198">
        <f t="shared" si="525"/>
        <v>0</v>
      </c>
      <c r="AT421" s="198">
        <f t="shared" si="525"/>
        <v>26741</v>
      </c>
      <c r="AU421" s="198">
        <f t="shared" si="525"/>
        <v>1381.75</v>
      </c>
      <c r="AV421" s="198">
        <f t="shared" si="525"/>
        <v>0</v>
      </c>
      <c r="AW421" s="198">
        <f t="shared" si="525"/>
        <v>28122.75</v>
      </c>
      <c r="AX421" s="236"/>
    </row>
    <row r="422" spans="2:53" s="71" customFormat="1" ht="33">
      <c r="B422" s="660"/>
      <c r="C422" s="208" t="s">
        <v>333</v>
      </c>
      <c r="D422" s="186"/>
      <c r="E422" s="660"/>
      <c r="F422" s="660"/>
      <c r="G422" s="187"/>
      <c r="H422" s="687"/>
      <c r="I422" s="187"/>
      <c r="J422" s="687"/>
      <c r="K422" s="187"/>
      <c r="L422" s="187"/>
      <c r="M422" s="687"/>
      <c r="N422" s="187"/>
      <c r="O422" s="687"/>
      <c r="P422" s="187"/>
      <c r="Q422" s="187"/>
      <c r="R422" s="187"/>
      <c r="S422" s="187"/>
      <c r="T422" s="187"/>
      <c r="U422" s="187"/>
      <c r="V422" s="687"/>
      <c r="W422" s="187"/>
      <c r="X422" s="674"/>
      <c r="Y422" s="688"/>
      <c r="Z422" s="187"/>
      <c r="AA422" s="187"/>
      <c r="AB422" s="187"/>
      <c r="AC422" s="689"/>
      <c r="AD422" s="689"/>
      <c r="AE422" s="190"/>
      <c r="AF422" s="190"/>
      <c r="AG422" s="689"/>
      <c r="AH422" s="190"/>
      <c r="AI422" s="191"/>
      <c r="AJ422" s="191"/>
      <c r="AK422" s="191"/>
      <c r="AL422" s="191"/>
      <c r="AM422" s="191"/>
      <c r="AN422" s="191"/>
      <c r="AO422" s="193"/>
      <c r="AP422" s="193"/>
      <c r="AQ422" s="193"/>
      <c r="AR422" s="193"/>
      <c r="AS422" s="193"/>
      <c r="AT422" s="197"/>
      <c r="AU422" s="197"/>
      <c r="AV422" s="191"/>
      <c r="AW422" s="236"/>
      <c r="AX422" s="236"/>
    </row>
    <row r="423" spans="2:53" s="71" customFormat="1" ht="33">
      <c r="B423" s="660">
        <f>B420+1</f>
        <v>267</v>
      </c>
      <c r="C423" s="185" t="s">
        <v>1306</v>
      </c>
      <c r="D423" s="186"/>
      <c r="E423" s="660" t="s">
        <v>334</v>
      </c>
      <c r="F423" s="660">
        <v>10</v>
      </c>
      <c r="G423" s="187">
        <v>5815</v>
      </c>
      <c r="H423" s="687"/>
      <c r="I423" s="187"/>
      <c r="J423" s="687"/>
      <c r="K423" s="187"/>
      <c r="L423" s="187"/>
      <c r="M423" s="687"/>
      <c r="N423" s="187"/>
      <c r="O423" s="687"/>
      <c r="P423" s="187"/>
      <c r="Q423" s="187"/>
      <c r="R423" s="187">
        <f>G423+I423+K423+L423+N423+P423+Q423</f>
        <v>5815</v>
      </c>
      <c r="S423" s="187"/>
      <c r="T423" s="187">
        <v>0.5</v>
      </c>
      <c r="U423" s="187"/>
      <c r="V423" s="687"/>
      <c r="W423" s="187"/>
      <c r="X423" s="674">
        <v>0</v>
      </c>
      <c r="Y423" s="688">
        <v>0</v>
      </c>
      <c r="Z423" s="187">
        <f>R423*Y423</f>
        <v>0</v>
      </c>
      <c r="AA423" s="187">
        <f>AH423</f>
        <v>1092.5</v>
      </c>
      <c r="AB423" s="187">
        <f>(R423+Z423)*T423+AA423</f>
        <v>4000</v>
      </c>
      <c r="AC423" s="689">
        <f t="shared" si="510"/>
        <v>0</v>
      </c>
      <c r="AD423" s="689">
        <f>AB423+AC423</f>
        <v>4000</v>
      </c>
      <c r="AE423" s="190">
        <f>AB423</f>
        <v>4000</v>
      </c>
      <c r="AF423" s="190">
        <f>AE423-AB423</f>
        <v>0</v>
      </c>
      <c r="AG423" s="689">
        <f>8000*T423</f>
        <v>4000</v>
      </c>
      <c r="AH423" s="190">
        <f>AG423-(R423+Z423)*T423</f>
        <v>1092.5</v>
      </c>
      <c r="AI423" s="191">
        <f t="shared" si="513"/>
        <v>0</v>
      </c>
      <c r="AJ423" s="191">
        <f t="shared" si="514"/>
        <v>2907.5</v>
      </c>
      <c r="AK423" s="191">
        <f t="shared" si="515"/>
        <v>0</v>
      </c>
      <c r="AL423" s="191">
        <f t="shared" si="516"/>
        <v>2907.5</v>
      </c>
      <c r="AM423" s="191">
        <f t="shared" si="517"/>
        <v>0</v>
      </c>
      <c r="AN423" s="191">
        <f t="shared" si="517"/>
        <v>0</v>
      </c>
      <c r="AO423" s="193">
        <f t="shared" si="518"/>
        <v>0</v>
      </c>
      <c r="AP423" s="193">
        <f t="shared" si="519"/>
        <v>0</v>
      </c>
      <c r="AQ423" s="193">
        <f t="shared" si="520"/>
        <v>1092.5</v>
      </c>
      <c r="AR423" s="193">
        <f t="shared" si="521"/>
        <v>0</v>
      </c>
      <c r="AS423" s="193">
        <f t="shared" si="522"/>
        <v>0</v>
      </c>
      <c r="AT423" s="197">
        <f t="shared" ref="AT423:AU425" si="526">AK423</f>
        <v>0</v>
      </c>
      <c r="AU423" s="197">
        <f t="shared" si="526"/>
        <v>2907.5</v>
      </c>
      <c r="AV423" s="191"/>
      <c r="AW423" s="236">
        <f>R423*T423</f>
        <v>2907.5</v>
      </c>
      <c r="AX423" s="236">
        <f>13500*T423-AB423</f>
        <v>2750</v>
      </c>
    </row>
    <row r="424" spans="2:53" s="71" customFormat="1" ht="33">
      <c r="B424" s="660">
        <f>1+B423</f>
        <v>268</v>
      </c>
      <c r="C424" s="185" t="s">
        <v>1306</v>
      </c>
      <c r="D424" s="186"/>
      <c r="E424" s="660" t="s">
        <v>1137</v>
      </c>
      <c r="F424" s="660">
        <v>10</v>
      </c>
      <c r="G424" s="187">
        <v>5815</v>
      </c>
      <c r="H424" s="687"/>
      <c r="I424" s="187"/>
      <c r="J424" s="687"/>
      <c r="K424" s="187"/>
      <c r="L424" s="187"/>
      <c r="M424" s="687"/>
      <c r="N424" s="187"/>
      <c r="O424" s="687"/>
      <c r="P424" s="187"/>
      <c r="Q424" s="187"/>
      <c r="R424" s="187">
        <f>G424+I424+K424+L424+N424+P424+Q424</f>
        <v>5815</v>
      </c>
      <c r="S424" s="187">
        <v>0.5</v>
      </c>
      <c r="T424" s="187"/>
      <c r="U424" s="187"/>
      <c r="V424" s="687"/>
      <c r="W424" s="187"/>
      <c r="X424" s="674">
        <v>0</v>
      </c>
      <c r="Y424" s="688">
        <v>0</v>
      </c>
      <c r="Z424" s="187">
        <f>R424*Y424</f>
        <v>0</v>
      </c>
      <c r="AA424" s="187">
        <f>AH424</f>
        <v>1092.5</v>
      </c>
      <c r="AB424" s="187">
        <f>(R424+Z424)*S424+AA424</f>
        <v>4000</v>
      </c>
      <c r="AC424" s="689">
        <f t="shared" si="510"/>
        <v>0</v>
      </c>
      <c r="AD424" s="689">
        <f t="shared" si="511"/>
        <v>4000</v>
      </c>
      <c r="AE424" s="190">
        <f>AB424</f>
        <v>4000</v>
      </c>
      <c r="AF424" s="190">
        <f t="shared" si="512"/>
        <v>0</v>
      </c>
      <c r="AG424" s="689">
        <f>8000*S424</f>
        <v>4000</v>
      </c>
      <c r="AH424" s="190">
        <f>AG424-(R424+Z424)*S424</f>
        <v>1092.5</v>
      </c>
      <c r="AI424" s="191">
        <f t="shared" si="513"/>
        <v>2907.5</v>
      </c>
      <c r="AJ424" s="191">
        <f t="shared" si="514"/>
        <v>0</v>
      </c>
      <c r="AK424" s="191">
        <f t="shared" si="515"/>
        <v>2907.5</v>
      </c>
      <c r="AL424" s="191">
        <f t="shared" si="516"/>
        <v>0</v>
      </c>
      <c r="AM424" s="191">
        <f t="shared" si="517"/>
        <v>0</v>
      </c>
      <c r="AN424" s="191">
        <f t="shared" si="517"/>
        <v>0</v>
      </c>
      <c r="AO424" s="193">
        <f t="shared" si="518"/>
        <v>0</v>
      </c>
      <c r="AP424" s="193">
        <f t="shared" si="519"/>
        <v>0</v>
      </c>
      <c r="AQ424" s="193">
        <f t="shared" si="520"/>
        <v>1092.5</v>
      </c>
      <c r="AR424" s="193">
        <f t="shared" si="521"/>
        <v>0</v>
      </c>
      <c r="AS424" s="193">
        <f t="shared" si="522"/>
        <v>0</v>
      </c>
      <c r="AT424" s="197">
        <f t="shared" si="526"/>
        <v>2907.5</v>
      </c>
      <c r="AU424" s="197">
        <f t="shared" si="526"/>
        <v>0</v>
      </c>
      <c r="AV424" s="191"/>
      <c r="AW424" s="236">
        <f t="shared" si="524"/>
        <v>2907.5</v>
      </c>
      <c r="AX424" s="236">
        <f>13500*S424-AB424</f>
        <v>2750</v>
      </c>
    </row>
    <row r="425" spans="2:53" s="71" customFormat="1" ht="33">
      <c r="B425" s="660"/>
      <c r="C425" s="185"/>
      <c r="D425" s="186"/>
      <c r="E425" s="181"/>
      <c r="F425" s="660"/>
      <c r="G425" s="187"/>
      <c r="H425" s="687"/>
      <c r="I425" s="187"/>
      <c r="J425" s="687"/>
      <c r="K425" s="187"/>
      <c r="L425" s="187"/>
      <c r="M425" s="687"/>
      <c r="N425" s="187"/>
      <c r="O425" s="687"/>
      <c r="P425" s="187"/>
      <c r="Q425" s="187"/>
      <c r="R425" s="187"/>
      <c r="S425" s="187"/>
      <c r="T425" s="187"/>
      <c r="U425" s="187"/>
      <c r="V425" s="687"/>
      <c r="W425" s="187"/>
      <c r="X425" s="674"/>
      <c r="Y425" s="688"/>
      <c r="Z425" s="187"/>
      <c r="AA425" s="187"/>
      <c r="AB425" s="187"/>
      <c r="AC425" s="689"/>
      <c r="AD425" s="689"/>
      <c r="AE425" s="190"/>
      <c r="AF425" s="190"/>
      <c r="AG425" s="689"/>
      <c r="AH425" s="190"/>
      <c r="AI425" s="191">
        <f t="shared" si="513"/>
        <v>0</v>
      </c>
      <c r="AJ425" s="191">
        <f t="shared" si="514"/>
        <v>0</v>
      </c>
      <c r="AK425" s="191">
        <f t="shared" si="515"/>
        <v>0</v>
      </c>
      <c r="AL425" s="191">
        <f t="shared" si="516"/>
        <v>0</v>
      </c>
      <c r="AM425" s="191">
        <f t="shared" si="517"/>
        <v>0</v>
      </c>
      <c r="AN425" s="191">
        <f t="shared" si="517"/>
        <v>0</v>
      </c>
      <c r="AO425" s="193">
        <f t="shared" si="518"/>
        <v>0</v>
      </c>
      <c r="AP425" s="193">
        <f t="shared" si="519"/>
        <v>0</v>
      </c>
      <c r="AQ425" s="193">
        <f t="shared" si="520"/>
        <v>0</v>
      </c>
      <c r="AR425" s="193">
        <f t="shared" si="521"/>
        <v>0</v>
      </c>
      <c r="AS425" s="193">
        <f t="shared" si="522"/>
        <v>0</v>
      </c>
      <c r="AT425" s="197">
        <f t="shared" si="526"/>
        <v>0</v>
      </c>
      <c r="AU425" s="197">
        <f t="shared" si="526"/>
        <v>0</v>
      </c>
      <c r="AV425" s="191"/>
      <c r="AW425" s="236"/>
      <c r="AX425" s="236"/>
    </row>
    <row r="426" spans="2:53" s="71" customFormat="1" ht="31.5">
      <c r="B426" s="660"/>
      <c r="C426" s="168" t="s">
        <v>1662</v>
      </c>
      <c r="D426" s="195"/>
      <c r="E426" s="181"/>
      <c r="F426" s="181"/>
      <c r="G426" s="171">
        <f>SUM(G414:G425)</f>
        <v>43898</v>
      </c>
      <c r="H426" s="682"/>
      <c r="I426" s="181"/>
      <c r="J426" s="682"/>
      <c r="K426" s="181"/>
      <c r="L426" s="181"/>
      <c r="M426" s="682"/>
      <c r="N426" s="181"/>
      <c r="O426" s="682"/>
      <c r="P426" s="173"/>
      <c r="Q426" s="171"/>
      <c r="R426" s="171">
        <f>SUM(R423:R425)</f>
        <v>11630</v>
      </c>
      <c r="S426" s="171">
        <f>SUM(S423:S425)</f>
        <v>0.5</v>
      </c>
      <c r="T426" s="171">
        <f>SUM(T423:T425)</f>
        <v>0.5</v>
      </c>
      <c r="U426" s="171"/>
      <c r="V426" s="693"/>
      <c r="W426" s="171"/>
      <c r="X426" s="693"/>
      <c r="Y426" s="693"/>
      <c r="Z426" s="171">
        <f>SUM(Z423:Z425)</f>
        <v>0</v>
      </c>
      <c r="AA426" s="171">
        <f>SUM(AA423:AA425)</f>
        <v>2185</v>
      </c>
      <c r="AB426" s="171">
        <f>SUM(AB423:AB425)</f>
        <v>8000</v>
      </c>
      <c r="AC426" s="171">
        <f t="shared" ref="AC426:AX426" si="527">SUM(AC423:AC425)</f>
        <v>0</v>
      </c>
      <c r="AD426" s="171">
        <f t="shared" si="527"/>
        <v>8000</v>
      </c>
      <c r="AE426" s="171">
        <f t="shared" si="527"/>
        <v>8000</v>
      </c>
      <c r="AF426" s="171">
        <f t="shared" si="527"/>
        <v>0</v>
      </c>
      <c r="AG426" s="171">
        <f t="shared" si="527"/>
        <v>8000</v>
      </c>
      <c r="AH426" s="171">
        <f t="shared" si="527"/>
        <v>2185</v>
      </c>
      <c r="AI426" s="171">
        <f t="shared" si="527"/>
        <v>2907.5</v>
      </c>
      <c r="AJ426" s="171">
        <f t="shared" si="527"/>
        <v>2907.5</v>
      </c>
      <c r="AK426" s="171">
        <f t="shared" si="527"/>
        <v>2907.5</v>
      </c>
      <c r="AL426" s="171">
        <f t="shared" si="527"/>
        <v>2907.5</v>
      </c>
      <c r="AM426" s="171">
        <f t="shared" si="527"/>
        <v>0</v>
      </c>
      <c r="AN426" s="171">
        <f t="shared" si="527"/>
        <v>0</v>
      </c>
      <c r="AO426" s="171">
        <f t="shared" si="527"/>
        <v>0</v>
      </c>
      <c r="AP426" s="171">
        <f t="shared" si="527"/>
        <v>0</v>
      </c>
      <c r="AQ426" s="171">
        <f t="shared" si="527"/>
        <v>2185</v>
      </c>
      <c r="AR426" s="171">
        <f t="shared" si="527"/>
        <v>0</v>
      </c>
      <c r="AS426" s="171">
        <f t="shared" si="527"/>
        <v>0</v>
      </c>
      <c r="AT426" s="171">
        <f t="shared" si="527"/>
        <v>2907.5</v>
      </c>
      <c r="AU426" s="171">
        <f t="shared" si="527"/>
        <v>2907.5</v>
      </c>
      <c r="AV426" s="171">
        <f t="shared" si="527"/>
        <v>0</v>
      </c>
      <c r="AW426" s="171">
        <f t="shared" si="527"/>
        <v>5815</v>
      </c>
      <c r="AX426" s="171">
        <f t="shared" si="527"/>
        <v>5500</v>
      </c>
    </row>
    <row r="427" spans="2:53" s="69" customFormat="1" ht="33">
      <c r="B427" s="660"/>
      <c r="C427" s="208" t="s">
        <v>1774</v>
      </c>
      <c r="D427" s="195"/>
      <c r="E427" s="181"/>
      <c r="F427" s="181"/>
      <c r="G427" s="171"/>
      <c r="H427" s="703"/>
      <c r="I427" s="171"/>
      <c r="J427" s="682"/>
      <c r="K427" s="181"/>
      <c r="L427" s="181"/>
      <c r="M427" s="682"/>
      <c r="N427" s="181"/>
      <c r="O427" s="682"/>
      <c r="P427" s="181"/>
      <c r="Q427" s="181"/>
      <c r="R427" s="171"/>
      <c r="S427" s="171"/>
      <c r="T427" s="171"/>
      <c r="U427" s="171"/>
      <c r="V427" s="693"/>
      <c r="W427" s="171"/>
      <c r="X427" s="693"/>
      <c r="Y427" s="693"/>
      <c r="Z427" s="171"/>
      <c r="AA427" s="171"/>
      <c r="AB427" s="171"/>
      <c r="AC427" s="196"/>
      <c r="AD427" s="196"/>
      <c r="AE427" s="196"/>
      <c r="AF427" s="196"/>
      <c r="AG427" s="196"/>
      <c r="AH427" s="196"/>
      <c r="AI427" s="191"/>
      <c r="AJ427" s="191"/>
      <c r="AK427" s="191"/>
      <c r="AL427" s="191"/>
      <c r="AM427" s="191"/>
      <c r="AN427" s="191"/>
      <c r="AO427" s="193"/>
      <c r="AP427" s="193"/>
      <c r="AQ427" s="193"/>
      <c r="AR427" s="193"/>
      <c r="AS427" s="193"/>
      <c r="AT427" s="197"/>
      <c r="AU427" s="197"/>
      <c r="AV427" s="191"/>
      <c r="AW427" s="236"/>
      <c r="AX427" s="236"/>
    </row>
    <row r="428" spans="2:53" s="71" customFormat="1" ht="63">
      <c r="B428" s="660">
        <f>B424+1</f>
        <v>269</v>
      </c>
      <c r="C428" s="185" t="s">
        <v>1160</v>
      </c>
      <c r="D428" s="186"/>
      <c r="E428" s="660" t="s">
        <v>1307</v>
      </c>
      <c r="F428" s="660">
        <v>3</v>
      </c>
      <c r="G428" s="187">
        <v>3770</v>
      </c>
      <c r="H428" s="687"/>
      <c r="I428" s="187"/>
      <c r="J428" s="692"/>
      <c r="K428" s="194"/>
      <c r="L428" s="194"/>
      <c r="M428" s="692"/>
      <c r="N428" s="194"/>
      <c r="O428" s="692"/>
      <c r="P428" s="194"/>
      <c r="Q428" s="194"/>
      <c r="R428" s="187">
        <f>G428+I428+K428+L428+N428+P428+Q428</f>
        <v>3770</v>
      </c>
      <c r="S428" s="187">
        <v>1</v>
      </c>
      <c r="T428" s="194"/>
      <c r="U428" s="194"/>
      <c r="V428" s="688">
        <v>0.1</v>
      </c>
      <c r="W428" s="187">
        <f>R428*V428</f>
        <v>377</v>
      </c>
      <c r="X428" s="674"/>
      <c r="Y428" s="688"/>
      <c r="Z428" s="187"/>
      <c r="AA428" s="187">
        <f>AH428</f>
        <v>4230</v>
      </c>
      <c r="AB428" s="187">
        <f>(R428+Z428+U428+W428)*S428+AA428</f>
        <v>8377</v>
      </c>
      <c r="AC428" s="689">
        <f>AF428</f>
        <v>0</v>
      </c>
      <c r="AD428" s="689">
        <f>AB428+AC428</f>
        <v>8377</v>
      </c>
      <c r="AE428" s="190">
        <f>AB428</f>
        <v>8377</v>
      </c>
      <c r="AF428" s="190">
        <f>AE428-AB428</f>
        <v>0</v>
      </c>
      <c r="AG428" s="689">
        <f>8000*S428</f>
        <v>8000</v>
      </c>
      <c r="AH428" s="190">
        <f>AG428-(R428*S428)</f>
        <v>4230</v>
      </c>
      <c r="AI428" s="191">
        <f>G428*S428</f>
        <v>3770</v>
      </c>
      <c r="AJ428" s="191">
        <f>G428*T428</f>
        <v>0</v>
      </c>
      <c r="AK428" s="191">
        <f>R428*S428</f>
        <v>3770</v>
      </c>
      <c r="AL428" s="191">
        <f>R428*T428</f>
        <v>0</v>
      </c>
      <c r="AM428" s="191">
        <f>AK428-AI428</f>
        <v>0</v>
      </c>
      <c r="AN428" s="191">
        <f>AL428-AJ428</f>
        <v>0</v>
      </c>
      <c r="AO428" s="193">
        <f>Z428*S428</f>
        <v>0</v>
      </c>
      <c r="AP428" s="193">
        <f>Z428*T428</f>
        <v>0</v>
      </c>
      <c r="AQ428" s="193">
        <f>AA428</f>
        <v>4230</v>
      </c>
      <c r="AR428" s="193">
        <f>W428*S428</f>
        <v>377</v>
      </c>
      <c r="AS428" s="193">
        <f>W428*T428</f>
        <v>0</v>
      </c>
      <c r="AT428" s="197">
        <f>AK428</f>
        <v>3770</v>
      </c>
      <c r="AU428" s="197">
        <f>AL428</f>
        <v>0</v>
      </c>
      <c r="AV428" s="191"/>
      <c r="AW428" s="236">
        <f>R428*S428</f>
        <v>3770</v>
      </c>
      <c r="AX428" s="236"/>
    </row>
    <row r="429" spans="2:53" s="71" customFormat="1" ht="31.5">
      <c r="B429" s="660"/>
      <c r="C429" s="168" t="s">
        <v>1662</v>
      </c>
      <c r="D429" s="195"/>
      <c r="E429" s="181"/>
      <c r="F429" s="181"/>
      <c r="G429" s="171">
        <f>SUM(G428:G428)</f>
        <v>3770</v>
      </c>
      <c r="H429" s="682"/>
      <c r="I429" s="181"/>
      <c r="J429" s="682"/>
      <c r="K429" s="181"/>
      <c r="L429" s="181"/>
      <c r="M429" s="682"/>
      <c r="N429" s="181"/>
      <c r="O429" s="682"/>
      <c r="P429" s="181"/>
      <c r="Q429" s="181"/>
      <c r="R429" s="171">
        <f>SUM(R428:R428)</f>
        <v>3770</v>
      </c>
      <c r="S429" s="171">
        <f>SUM(S428:S428)</f>
        <v>1</v>
      </c>
      <c r="T429" s="171">
        <f>SUM(T428:T428)</f>
        <v>0</v>
      </c>
      <c r="U429" s="171"/>
      <c r="V429" s="693"/>
      <c r="W429" s="171">
        <f>SUM(W428:W428)</f>
        <v>377</v>
      </c>
      <c r="X429" s="693"/>
      <c r="Y429" s="693"/>
      <c r="Z429" s="171"/>
      <c r="AA429" s="171">
        <f>SUM(AA428:AA428)</f>
        <v>4230</v>
      </c>
      <c r="AB429" s="171">
        <f t="shared" ref="AB429:AX429" si="528">SUM(AB428:AB428)</f>
        <v>8377</v>
      </c>
      <c r="AC429" s="171">
        <f t="shared" si="528"/>
        <v>0</v>
      </c>
      <c r="AD429" s="171">
        <f t="shared" si="528"/>
        <v>8377</v>
      </c>
      <c r="AE429" s="171">
        <f t="shared" si="528"/>
        <v>8377</v>
      </c>
      <c r="AF429" s="171">
        <f t="shared" si="528"/>
        <v>0</v>
      </c>
      <c r="AG429" s="171">
        <f t="shared" si="528"/>
        <v>8000</v>
      </c>
      <c r="AH429" s="171">
        <f t="shared" si="528"/>
        <v>4230</v>
      </c>
      <c r="AI429" s="171">
        <f t="shared" si="528"/>
        <v>3770</v>
      </c>
      <c r="AJ429" s="171">
        <f t="shared" si="528"/>
        <v>0</v>
      </c>
      <c r="AK429" s="171">
        <f t="shared" si="528"/>
        <v>3770</v>
      </c>
      <c r="AL429" s="171">
        <f t="shared" si="528"/>
        <v>0</v>
      </c>
      <c r="AM429" s="171">
        <f t="shared" si="528"/>
        <v>0</v>
      </c>
      <c r="AN429" s="171">
        <f t="shared" si="528"/>
        <v>0</v>
      </c>
      <c r="AO429" s="171">
        <f t="shared" si="528"/>
        <v>0</v>
      </c>
      <c r="AP429" s="171">
        <f t="shared" si="528"/>
        <v>0</v>
      </c>
      <c r="AQ429" s="171">
        <f t="shared" si="528"/>
        <v>4230</v>
      </c>
      <c r="AR429" s="171">
        <f t="shared" si="528"/>
        <v>377</v>
      </c>
      <c r="AS429" s="171">
        <f t="shared" si="528"/>
        <v>0</v>
      </c>
      <c r="AT429" s="171">
        <f t="shared" si="528"/>
        <v>3770</v>
      </c>
      <c r="AU429" s="171">
        <f t="shared" si="528"/>
        <v>0</v>
      </c>
      <c r="AV429" s="171">
        <f t="shared" si="528"/>
        <v>0</v>
      </c>
      <c r="AW429" s="171">
        <f t="shared" si="528"/>
        <v>3770</v>
      </c>
      <c r="AX429" s="171">
        <f t="shared" si="528"/>
        <v>0</v>
      </c>
    </row>
    <row r="430" spans="2:53" s="71" customFormat="1" ht="31.5">
      <c r="B430" s="660"/>
      <c r="C430" s="168" t="s">
        <v>1223</v>
      </c>
      <c r="D430" s="195"/>
      <c r="E430" s="181"/>
      <c r="F430" s="181"/>
      <c r="G430" s="171">
        <f>G412+G426+G429</f>
        <v>107256</v>
      </c>
      <c r="H430" s="693"/>
      <c r="I430" s="171">
        <f>I412+I426+I429</f>
        <v>0</v>
      </c>
      <c r="J430" s="693"/>
      <c r="K430" s="171"/>
      <c r="L430" s="171"/>
      <c r="M430" s="693"/>
      <c r="N430" s="171"/>
      <c r="O430" s="693"/>
      <c r="P430" s="171">
        <f>P412+P426+P429</f>
        <v>0</v>
      </c>
      <c r="Q430" s="171"/>
      <c r="R430" s="171">
        <f>R412+R426+R429+R421</f>
        <v>107256</v>
      </c>
      <c r="S430" s="171">
        <f>S412+S426+S429+S421</f>
        <v>14</v>
      </c>
      <c r="T430" s="171">
        <f>T412+T426+T429+T421</f>
        <v>1.75</v>
      </c>
      <c r="U430" s="171"/>
      <c r="V430" s="693"/>
      <c r="W430" s="171">
        <f>W412+W426+W429</f>
        <v>377</v>
      </c>
      <c r="X430" s="693"/>
      <c r="Y430" s="693"/>
      <c r="Z430" s="171">
        <f>Z412+Z426+Z429+Z421</f>
        <v>18607.400000000001</v>
      </c>
      <c r="AA430" s="171">
        <f>AA412+AA426+AA429+AA421</f>
        <v>22584.324999999997</v>
      </c>
      <c r="AB430" s="171">
        <f>AB412+AB426+AB429+AB421</f>
        <v>127091.45</v>
      </c>
      <c r="AC430" s="171">
        <f>AC412+AC426+AC429+AC421</f>
        <v>130160.55</v>
      </c>
      <c r="AD430" s="171">
        <f>AD412+AD426+AD429</f>
        <v>36377</v>
      </c>
      <c r="AE430" s="171">
        <f t="shared" ref="AE430:AX430" si="529">AE412+AE426+AE429</f>
        <v>36377</v>
      </c>
      <c r="AF430" s="171">
        <f t="shared" si="529"/>
        <v>12000</v>
      </c>
      <c r="AG430" s="171">
        <f t="shared" si="529"/>
        <v>24000</v>
      </c>
      <c r="AH430" s="171">
        <f t="shared" si="529"/>
        <v>6855.5</v>
      </c>
      <c r="AI430" s="171">
        <f t="shared" si="529"/>
        <v>12492.5</v>
      </c>
      <c r="AJ430" s="171">
        <f t="shared" si="529"/>
        <v>2907.5</v>
      </c>
      <c r="AK430" s="171">
        <f t="shared" si="529"/>
        <v>12492.5</v>
      </c>
      <c r="AL430" s="171">
        <f t="shared" si="529"/>
        <v>2907.5</v>
      </c>
      <c r="AM430" s="171">
        <f t="shared" si="529"/>
        <v>0</v>
      </c>
      <c r="AN430" s="171">
        <f t="shared" si="529"/>
        <v>0</v>
      </c>
      <c r="AO430" s="171">
        <f t="shared" si="529"/>
        <v>1744.5</v>
      </c>
      <c r="AP430" s="171">
        <f t="shared" si="529"/>
        <v>0</v>
      </c>
      <c r="AQ430" s="171">
        <f t="shared" si="529"/>
        <v>6855.5</v>
      </c>
      <c r="AR430" s="171">
        <f t="shared" si="529"/>
        <v>377</v>
      </c>
      <c r="AS430" s="171">
        <f t="shared" si="529"/>
        <v>0</v>
      </c>
      <c r="AT430" s="171">
        <f t="shared" si="529"/>
        <v>12492.5</v>
      </c>
      <c r="AU430" s="171">
        <f t="shared" si="529"/>
        <v>2907.5</v>
      </c>
      <c r="AV430" s="171">
        <f t="shared" si="529"/>
        <v>0</v>
      </c>
      <c r="AW430" s="171">
        <f t="shared" si="529"/>
        <v>15400</v>
      </c>
      <c r="AX430" s="171">
        <f t="shared" si="529"/>
        <v>5500</v>
      </c>
    </row>
    <row r="431" spans="2:53" s="71" customFormat="1" ht="61.5">
      <c r="B431" s="660"/>
      <c r="C431" s="204" t="s">
        <v>1687</v>
      </c>
      <c r="D431" s="205"/>
      <c r="E431" s="206"/>
      <c r="F431" s="206"/>
      <c r="G431" s="206"/>
      <c r="H431" s="696"/>
      <c r="I431" s="206"/>
      <c r="J431" s="696"/>
      <c r="K431" s="206"/>
      <c r="L431" s="206"/>
      <c r="M431" s="696"/>
      <c r="N431" s="206"/>
      <c r="O431" s="696"/>
      <c r="P431" s="206"/>
      <c r="Q431" s="206"/>
      <c r="R431" s="206"/>
      <c r="S431" s="206"/>
      <c r="T431" s="206"/>
      <c r="U431" s="206"/>
      <c r="V431" s="697"/>
      <c r="W431" s="206"/>
      <c r="X431" s="697"/>
      <c r="Y431" s="697"/>
      <c r="Z431" s="206"/>
      <c r="AA431" s="206"/>
      <c r="AB431" s="206"/>
      <c r="AC431" s="207"/>
      <c r="AD431" s="207"/>
      <c r="AE431" s="207"/>
      <c r="AF431" s="207"/>
      <c r="AG431" s="207"/>
      <c r="AH431" s="207"/>
      <c r="AI431" s="191"/>
      <c r="AJ431" s="191"/>
      <c r="AK431" s="191"/>
      <c r="AL431" s="191"/>
      <c r="AM431" s="191"/>
      <c r="AN431" s="191"/>
      <c r="AO431" s="193"/>
      <c r="AP431" s="193"/>
      <c r="AQ431" s="193"/>
      <c r="AR431" s="193"/>
      <c r="AS431" s="193"/>
      <c r="AT431" s="197"/>
      <c r="AU431" s="197"/>
      <c r="AV431" s="191"/>
      <c r="AW431" s="236"/>
      <c r="AX431" s="236"/>
    </row>
    <row r="432" spans="2:53" s="69" customFormat="1" ht="33">
      <c r="B432" s="660"/>
      <c r="C432" s="208" t="s">
        <v>1309</v>
      </c>
      <c r="D432" s="205"/>
      <c r="E432" s="206"/>
      <c r="F432" s="206"/>
      <c r="G432" s="206"/>
      <c r="H432" s="696"/>
      <c r="I432" s="206"/>
      <c r="J432" s="696"/>
      <c r="K432" s="206"/>
      <c r="L432" s="206"/>
      <c r="M432" s="696"/>
      <c r="N432" s="206"/>
      <c r="O432" s="696"/>
      <c r="P432" s="206"/>
      <c r="Q432" s="206"/>
      <c r="R432" s="206"/>
      <c r="S432" s="206"/>
      <c r="T432" s="206"/>
      <c r="U432" s="206"/>
      <c r="V432" s="697"/>
      <c r="W432" s="206"/>
      <c r="X432" s="697"/>
      <c r="Y432" s="697"/>
      <c r="Z432" s="206"/>
      <c r="AA432" s="206"/>
      <c r="AB432" s="206"/>
      <c r="AC432" s="207"/>
      <c r="AD432" s="207"/>
      <c r="AE432" s="207"/>
      <c r="AF432" s="207"/>
      <c r="AG432" s="207"/>
      <c r="AH432" s="207"/>
      <c r="AI432" s="191"/>
      <c r="AJ432" s="191"/>
      <c r="AK432" s="191"/>
      <c r="AL432" s="191"/>
      <c r="AM432" s="191"/>
      <c r="AN432" s="191"/>
      <c r="AO432" s="193"/>
      <c r="AP432" s="193"/>
      <c r="AQ432" s="193"/>
      <c r="AR432" s="193"/>
      <c r="AS432" s="193"/>
      <c r="AT432" s="197"/>
      <c r="AU432" s="197"/>
      <c r="AV432" s="191"/>
      <c r="AW432" s="236"/>
      <c r="AX432" s="236"/>
      <c r="BA432" s="70"/>
    </row>
    <row r="433" spans="2:50" s="71" customFormat="1" ht="58.5">
      <c r="B433" s="660">
        <f>B428+1</f>
        <v>270</v>
      </c>
      <c r="C433" s="185" t="s">
        <v>1283</v>
      </c>
      <c r="D433" s="186" t="s">
        <v>335</v>
      </c>
      <c r="E433" s="660" t="s">
        <v>1284</v>
      </c>
      <c r="F433" s="660">
        <v>13</v>
      </c>
      <c r="G433" s="187">
        <v>7253</v>
      </c>
      <c r="H433" s="674"/>
      <c r="I433" s="660"/>
      <c r="J433" s="674"/>
      <c r="K433" s="660"/>
      <c r="L433" s="660"/>
      <c r="M433" s="674"/>
      <c r="N433" s="187"/>
      <c r="O433" s="674"/>
      <c r="P433" s="660"/>
      <c r="Q433" s="189"/>
      <c r="R433" s="187">
        <f>G433+I433+K433+L433+N433+P433+Q433</f>
        <v>7253</v>
      </c>
      <c r="S433" s="187"/>
      <c r="T433" s="187">
        <v>0.5</v>
      </c>
      <c r="U433" s="182"/>
      <c r="V433" s="688"/>
      <c r="W433" s="182"/>
      <c r="X433" s="682">
        <v>40</v>
      </c>
      <c r="Y433" s="688">
        <v>0.3</v>
      </c>
      <c r="Z433" s="187">
        <f>R433*Y433</f>
        <v>2175.9</v>
      </c>
      <c r="AA433" s="187"/>
      <c r="AB433" s="187">
        <f>(R433+Z433)*T433+AA433</f>
        <v>4714.45</v>
      </c>
      <c r="AC433" s="689">
        <f>AF433</f>
        <v>5285.55</v>
      </c>
      <c r="AD433" s="689">
        <f>AB433+AC433</f>
        <v>10000</v>
      </c>
      <c r="AE433" s="190">
        <f>20000*T433</f>
        <v>10000</v>
      </c>
      <c r="AF433" s="190">
        <f>AE433-AB433</f>
        <v>5285.55</v>
      </c>
      <c r="AG433" s="689">
        <f>8000*T433</f>
        <v>4000</v>
      </c>
      <c r="AH433" s="190">
        <f>AG433-(R433+Z433)*T433</f>
        <v>-714.44999999999982</v>
      </c>
      <c r="AI433" s="191">
        <f>G433*S433</f>
        <v>0</v>
      </c>
      <c r="AJ433" s="191">
        <f>G433*T433</f>
        <v>3626.5</v>
      </c>
      <c r="AK433" s="191">
        <f>R433*S433</f>
        <v>0</v>
      </c>
      <c r="AL433" s="191">
        <f>R433*T433</f>
        <v>3626.5</v>
      </c>
      <c r="AM433" s="191">
        <f>AK433-AI433</f>
        <v>0</v>
      </c>
      <c r="AN433" s="191">
        <f>AL433-AJ433</f>
        <v>0</v>
      </c>
      <c r="AO433" s="193">
        <f>Z433*S433</f>
        <v>0</v>
      </c>
      <c r="AP433" s="193">
        <f>Z433*T433</f>
        <v>1087.95</v>
      </c>
      <c r="AQ433" s="193">
        <f>AA433</f>
        <v>0</v>
      </c>
      <c r="AR433" s="193">
        <f>W433*S433</f>
        <v>0</v>
      </c>
      <c r="AS433" s="193">
        <f>W433*T433</f>
        <v>0</v>
      </c>
      <c r="AT433" s="197">
        <f>AK433</f>
        <v>0</v>
      </c>
      <c r="AU433" s="197">
        <f>AL433</f>
        <v>3626.5</v>
      </c>
      <c r="AV433" s="191"/>
      <c r="AW433" s="236">
        <f>R433*T433</f>
        <v>3626.5</v>
      </c>
      <c r="AX433" s="236"/>
    </row>
    <row r="434" spans="2:50" s="71" customFormat="1" ht="33">
      <c r="B434" s="660">
        <f>B433+1</f>
        <v>271</v>
      </c>
      <c r="C434" s="185" t="s">
        <v>1283</v>
      </c>
      <c r="D434" s="186"/>
      <c r="E434" s="660"/>
      <c r="F434" s="660"/>
      <c r="G434" s="187"/>
      <c r="H434" s="674"/>
      <c r="I434" s="660"/>
      <c r="J434" s="674"/>
      <c r="K434" s="660"/>
      <c r="L434" s="660"/>
      <c r="M434" s="674"/>
      <c r="N434" s="187"/>
      <c r="O434" s="674"/>
      <c r="P434" s="660"/>
      <c r="Q434" s="189"/>
      <c r="R434" s="187">
        <f>G434+I434+K434+L434+N434+P434+Q434</f>
        <v>0</v>
      </c>
      <c r="S434" s="187"/>
      <c r="T434" s="187"/>
      <c r="U434" s="182"/>
      <c r="V434" s="688"/>
      <c r="W434" s="182"/>
      <c r="X434" s="682"/>
      <c r="Y434" s="688">
        <v>0</v>
      </c>
      <c r="Z434" s="187">
        <f>R434*Y434</f>
        <v>0</v>
      </c>
      <c r="AA434" s="187"/>
      <c r="AB434" s="187">
        <f>(R434+Z434)*S434</f>
        <v>0</v>
      </c>
      <c r="AC434" s="689">
        <f>AF434</f>
        <v>0</v>
      </c>
      <c r="AD434" s="689">
        <f>AB434+AC434</f>
        <v>0</v>
      </c>
      <c r="AE434" s="190">
        <f>20000*S434</f>
        <v>0</v>
      </c>
      <c r="AF434" s="190">
        <f>AE434-AB434</f>
        <v>0</v>
      </c>
      <c r="AG434" s="689">
        <f>7100*S434</f>
        <v>0</v>
      </c>
      <c r="AH434" s="190">
        <f>AB434-AG434</f>
        <v>0</v>
      </c>
      <c r="AI434" s="191">
        <f>G434*S434</f>
        <v>0</v>
      </c>
      <c r="AJ434" s="191">
        <f>G434*T434</f>
        <v>0</v>
      </c>
      <c r="AK434" s="191">
        <f>R434*S434</f>
        <v>0</v>
      </c>
      <c r="AL434" s="191">
        <f>R434*T434</f>
        <v>0</v>
      </c>
      <c r="AM434" s="191">
        <f>AK434-AI434</f>
        <v>0</v>
      </c>
      <c r="AN434" s="191">
        <f>AL434-AJ434</f>
        <v>0</v>
      </c>
      <c r="AO434" s="193">
        <f>Z434*S434</f>
        <v>0</v>
      </c>
      <c r="AP434" s="193">
        <f>Z434*T434</f>
        <v>0</v>
      </c>
      <c r="AQ434" s="193">
        <f>AA434</f>
        <v>0</v>
      </c>
      <c r="AR434" s="193">
        <f>W434*S434</f>
        <v>0</v>
      </c>
      <c r="AS434" s="193">
        <f>W434*T434</f>
        <v>0</v>
      </c>
      <c r="AT434" s="197">
        <f>AK434</f>
        <v>0</v>
      </c>
      <c r="AU434" s="197">
        <f>AL434</f>
        <v>0</v>
      </c>
      <c r="AV434" s="191"/>
      <c r="AW434" s="236">
        <f>AT434+AU434-AV434</f>
        <v>0</v>
      </c>
      <c r="AX434" s="236"/>
    </row>
    <row r="435" spans="2:50" s="71" customFormat="1" ht="31.5">
      <c r="B435" s="660"/>
      <c r="C435" s="168" t="s">
        <v>1662</v>
      </c>
      <c r="D435" s="195"/>
      <c r="E435" s="182"/>
      <c r="F435" s="181"/>
      <c r="G435" s="173">
        <f>SUM(G433:G434)</f>
        <v>7253</v>
      </c>
      <c r="H435" s="705"/>
      <c r="I435" s="173"/>
      <c r="J435" s="705"/>
      <c r="K435" s="173"/>
      <c r="L435" s="173"/>
      <c r="M435" s="705"/>
      <c r="N435" s="173"/>
      <c r="O435" s="705"/>
      <c r="P435" s="173"/>
      <c r="Q435" s="173"/>
      <c r="R435" s="173">
        <f>SUM(R433:R434)</f>
        <v>7253</v>
      </c>
      <c r="S435" s="171">
        <f>SUM(S433:S434)</f>
        <v>0</v>
      </c>
      <c r="T435" s="171">
        <f>SUM(T433:T434)</f>
        <v>0.5</v>
      </c>
      <c r="U435" s="173"/>
      <c r="V435" s="704"/>
      <c r="W435" s="173"/>
      <c r="X435" s="704"/>
      <c r="Y435" s="704"/>
      <c r="Z435" s="171">
        <f>SUM(Z433:Z434)</f>
        <v>2175.9</v>
      </c>
      <c r="AA435" s="171">
        <f t="shared" ref="AA435:AV435" si="530">SUM(AA433:AA434)</f>
        <v>0</v>
      </c>
      <c r="AB435" s="171">
        <f t="shared" si="530"/>
        <v>4714.45</v>
      </c>
      <c r="AC435" s="171">
        <f t="shared" si="530"/>
        <v>5285.55</v>
      </c>
      <c r="AD435" s="171">
        <f>SUM(AD433:AD434)</f>
        <v>10000</v>
      </c>
      <c r="AE435" s="171">
        <f t="shared" si="530"/>
        <v>10000</v>
      </c>
      <c r="AF435" s="171">
        <f t="shared" si="530"/>
        <v>5285.55</v>
      </c>
      <c r="AG435" s="171">
        <f t="shared" si="530"/>
        <v>4000</v>
      </c>
      <c r="AH435" s="171">
        <f t="shared" si="530"/>
        <v>-714.44999999999982</v>
      </c>
      <c r="AI435" s="171">
        <f t="shared" si="530"/>
        <v>0</v>
      </c>
      <c r="AJ435" s="171">
        <f t="shared" si="530"/>
        <v>3626.5</v>
      </c>
      <c r="AK435" s="171">
        <f t="shared" si="530"/>
        <v>0</v>
      </c>
      <c r="AL435" s="171">
        <f t="shared" si="530"/>
        <v>3626.5</v>
      </c>
      <c r="AM435" s="171">
        <f t="shared" si="530"/>
        <v>0</v>
      </c>
      <c r="AN435" s="171">
        <f t="shared" si="530"/>
        <v>0</v>
      </c>
      <c r="AO435" s="171">
        <f t="shared" si="530"/>
        <v>0</v>
      </c>
      <c r="AP435" s="171">
        <f t="shared" si="530"/>
        <v>1087.95</v>
      </c>
      <c r="AQ435" s="171">
        <f t="shared" si="530"/>
        <v>0</v>
      </c>
      <c r="AR435" s="171">
        <f t="shared" si="530"/>
        <v>0</v>
      </c>
      <c r="AS435" s="171">
        <f t="shared" si="530"/>
        <v>0</v>
      </c>
      <c r="AT435" s="171">
        <f t="shared" si="530"/>
        <v>0</v>
      </c>
      <c r="AU435" s="171">
        <f t="shared" si="530"/>
        <v>3626.5</v>
      </c>
      <c r="AV435" s="171">
        <f t="shared" si="530"/>
        <v>0</v>
      </c>
      <c r="AW435" s="171">
        <f>SUM(AW433:AW434)</f>
        <v>3626.5</v>
      </c>
      <c r="AX435" s="171">
        <f>SUM(AX433:AX434)</f>
        <v>0</v>
      </c>
    </row>
    <row r="436" spans="2:50" s="69" customFormat="1" ht="33">
      <c r="B436" s="660"/>
      <c r="C436" s="208" t="s">
        <v>1508</v>
      </c>
      <c r="D436" s="180"/>
      <c r="E436" s="181"/>
      <c r="F436" s="181"/>
      <c r="G436" s="181"/>
      <c r="H436" s="682"/>
      <c r="I436" s="181"/>
      <c r="J436" s="682"/>
      <c r="K436" s="181"/>
      <c r="L436" s="181"/>
      <c r="M436" s="682"/>
      <c r="N436" s="181"/>
      <c r="O436" s="682"/>
      <c r="P436" s="181"/>
      <c r="Q436" s="181"/>
      <c r="R436" s="181"/>
      <c r="S436" s="181"/>
      <c r="T436" s="181"/>
      <c r="U436" s="181"/>
      <c r="V436" s="683"/>
      <c r="W436" s="181"/>
      <c r="X436" s="683"/>
      <c r="Y436" s="683"/>
      <c r="Z436" s="181"/>
      <c r="AA436" s="181"/>
      <c r="AB436" s="181"/>
      <c r="AC436" s="183"/>
      <c r="AD436" s="183"/>
      <c r="AE436" s="183"/>
      <c r="AF436" s="183"/>
      <c r="AG436" s="183"/>
      <c r="AH436" s="183"/>
      <c r="AI436" s="191"/>
      <c r="AJ436" s="191"/>
      <c r="AK436" s="191"/>
      <c r="AL436" s="191"/>
      <c r="AM436" s="191"/>
      <c r="AN436" s="191"/>
      <c r="AO436" s="193"/>
      <c r="AP436" s="193"/>
      <c r="AQ436" s="193"/>
      <c r="AR436" s="193"/>
      <c r="AS436" s="193"/>
      <c r="AT436" s="197"/>
      <c r="AU436" s="197"/>
      <c r="AV436" s="191"/>
      <c r="AW436" s="236"/>
      <c r="AX436" s="236"/>
    </row>
    <row r="437" spans="2:50" s="71" customFormat="1" ht="87.75">
      <c r="B437" s="660">
        <f>B433+1</f>
        <v>271</v>
      </c>
      <c r="C437" s="185" t="s">
        <v>1711</v>
      </c>
      <c r="D437" s="186" t="s">
        <v>336</v>
      </c>
      <c r="E437" s="660" t="s">
        <v>1712</v>
      </c>
      <c r="F437" s="660">
        <v>10</v>
      </c>
      <c r="G437" s="187">
        <v>5815</v>
      </c>
      <c r="H437" s="687"/>
      <c r="I437" s="187"/>
      <c r="J437" s="688"/>
      <c r="K437" s="189"/>
      <c r="L437" s="189"/>
      <c r="M437" s="687"/>
      <c r="N437" s="187"/>
      <c r="O437" s="687"/>
      <c r="P437" s="194"/>
      <c r="Q437" s="194"/>
      <c r="R437" s="187">
        <f>G437+I437+K437+L437+N437+P437+Q437</f>
        <v>5815</v>
      </c>
      <c r="S437" s="187">
        <v>1</v>
      </c>
      <c r="T437" s="187"/>
      <c r="U437" s="194"/>
      <c r="V437" s="692"/>
      <c r="W437" s="194"/>
      <c r="X437" s="674">
        <v>28</v>
      </c>
      <c r="Y437" s="688">
        <v>0.3</v>
      </c>
      <c r="Z437" s="187">
        <f>R437*Y437</f>
        <v>1744.5</v>
      </c>
      <c r="AA437" s="187">
        <f>AH437</f>
        <v>440.5</v>
      </c>
      <c r="AB437" s="187">
        <f>(R437+Z437)*S437+AA437</f>
        <v>8000</v>
      </c>
      <c r="AC437" s="689">
        <f>AF437</f>
        <v>5500</v>
      </c>
      <c r="AD437" s="689">
        <f>AB437+AC437</f>
        <v>13500</v>
      </c>
      <c r="AE437" s="190">
        <f>13500*S437</f>
        <v>13500</v>
      </c>
      <c r="AF437" s="190">
        <f>AE437-AB437</f>
        <v>5500</v>
      </c>
      <c r="AG437" s="689">
        <f>8000*S437</f>
        <v>8000</v>
      </c>
      <c r="AH437" s="190">
        <f>AG437-(R437+Z437)*S437</f>
        <v>440.5</v>
      </c>
      <c r="AI437" s="191">
        <f>G437*S437</f>
        <v>5815</v>
      </c>
      <c r="AJ437" s="191">
        <f>G437*T437</f>
        <v>0</v>
      </c>
      <c r="AK437" s="191">
        <f>R437*S437</f>
        <v>5815</v>
      </c>
      <c r="AL437" s="191">
        <f>R437*T437</f>
        <v>0</v>
      </c>
      <c r="AM437" s="191">
        <f t="shared" ref="AM437:AN439" si="531">AK437-AI437</f>
        <v>0</v>
      </c>
      <c r="AN437" s="191">
        <f t="shared" si="531"/>
        <v>0</v>
      </c>
      <c r="AO437" s="193">
        <f>Z437*S437</f>
        <v>1744.5</v>
      </c>
      <c r="AP437" s="193">
        <f>Z437*T437</f>
        <v>0</v>
      </c>
      <c r="AQ437" s="193">
        <f>AA437</f>
        <v>440.5</v>
      </c>
      <c r="AR437" s="193">
        <f>W437*S437</f>
        <v>0</v>
      </c>
      <c r="AS437" s="193">
        <f>W437*T437</f>
        <v>0</v>
      </c>
      <c r="AT437" s="197">
        <f t="shared" ref="AT437:AU439" si="532">AK437</f>
        <v>5815</v>
      </c>
      <c r="AU437" s="197">
        <f t="shared" si="532"/>
        <v>0</v>
      </c>
      <c r="AV437" s="191"/>
      <c r="AW437" s="236">
        <f>R437*S437</f>
        <v>5815</v>
      </c>
      <c r="AX437" s="236"/>
    </row>
    <row r="438" spans="2:50" s="71" customFormat="1" ht="33">
      <c r="B438" s="660"/>
      <c r="C438" s="185"/>
      <c r="D438" s="186"/>
      <c r="E438" s="660"/>
      <c r="F438" s="660"/>
      <c r="G438" s="187"/>
      <c r="H438" s="687"/>
      <c r="I438" s="187"/>
      <c r="J438" s="688"/>
      <c r="K438" s="189"/>
      <c r="L438" s="189"/>
      <c r="M438" s="687"/>
      <c r="N438" s="187"/>
      <c r="O438" s="687"/>
      <c r="P438" s="194"/>
      <c r="Q438" s="194"/>
      <c r="R438" s="187">
        <f>G438+I438+K438+L438+N438+P438+Q438</f>
        <v>0</v>
      </c>
      <c r="S438" s="187"/>
      <c r="T438" s="187"/>
      <c r="U438" s="194"/>
      <c r="V438" s="692"/>
      <c r="W438" s="194"/>
      <c r="X438" s="674"/>
      <c r="Y438" s="688">
        <v>0</v>
      </c>
      <c r="Z438" s="187">
        <f>R438*Y438</f>
        <v>0</v>
      </c>
      <c r="AA438" s="187">
        <f>AH438</f>
        <v>0</v>
      </c>
      <c r="AB438" s="187">
        <f>(R438+Z438)*S438+AA438</f>
        <v>0</v>
      </c>
      <c r="AC438" s="689">
        <f>AF438</f>
        <v>0</v>
      </c>
      <c r="AD438" s="689">
        <f>AB438+AC438</f>
        <v>0</v>
      </c>
      <c r="AE438" s="190">
        <f>13500*S438</f>
        <v>0</v>
      </c>
      <c r="AF438" s="190">
        <f>AE438-AB438</f>
        <v>0</v>
      </c>
      <c r="AG438" s="689">
        <f>8000*S438</f>
        <v>0</v>
      </c>
      <c r="AH438" s="190">
        <f>AG438-(R438+Z438)*S438</f>
        <v>0</v>
      </c>
      <c r="AI438" s="191">
        <f>G438*S438</f>
        <v>0</v>
      </c>
      <c r="AJ438" s="191">
        <f>G438*T438</f>
        <v>0</v>
      </c>
      <c r="AK438" s="191">
        <f>R438*S438</f>
        <v>0</v>
      </c>
      <c r="AL438" s="191">
        <f>R438*T438</f>
        <v>0</v>
      </c>
      <c r="AM438" s="191">
        <f t="shared" si="531"/>
        <v>0</v>
      </c>
      <c r="AN438" s="191">
        <f t="shared" si="531"/>
        <v>0</v>
      </c>
      <c r="AO438" s="193">
        <f>Z438*S438</f>
        <v>0</v>
      </c>
      <c r="AP438" s="193">
        <f>Z438*T438</f>
        <v>0</v>
      </c>
      <c r="AQ438" s="193">
        <f>AA438</f>
        <v>0</v>
      </c>
      <c r="AR438" s="193">
        <f>W438*S438</f>
        <v>0</v>
      </c>
      <c r="AS438" s="193">
        <f>W438*T438</f>
        <v>0</v>
      </c>
      <c r="AT438" s="197">
        <f t="shared" si="532"/>
        <v>0</v>
      </c>
      <c r="AU438" s="197">
        <f t="shared" si="532"/>
        <v>0</v>
      </c>
      <c r="AV438" s="191"/>
      <c r="AW438" s="236">
        <f>R438*S438</f>
        <v>0</v>
      </c>
      <c r="AX438" s="236"/>
    </row>
    <row r="439" spans="2:50" s="71" customFormat="1" ht="58.5">
      <c r="B439" s="660">
        <f>1+B437</f>
        <v>272</v>
      </c>
      <c r="C439" s="185" t="s">
        <v>1135</v>
      </c>
      <c r="D439" s="200" t="s">
        <v>1136</v>
      </c>
      <c r="E439" s="194" t="s">
        <v>1713</v>
      </c>
      <c r="F439" s="660">
        <v>7</v>
      </c>
      <c r="G439" s="187">
        <v>4920</v>
      </c>
      <c r="H439" s="687"/>
      <c r="I439" s="187"/>
      <c r="J439" s="687"/>
      <c r="K439" s="187"/>
      <c r="L439" s="187"/>
      <c r="M439" s="687"/>
      <c r="N439" s="187"/>
      <c r="O439" s="687"/>
      <c r="P439" s="194"/>
      <c r="Q439" s="194"/>
      <c r="R439" s="187">
        <f>G439+I439+K439+L439+N439+P439+Q439</f>
        <v>4920</v>
      </c>
      <c r="S439" s="187">
        <v>1</v>
      </c>
      <c r="T439" s="187"/>
      <c r="U439" s="194"/>
      <c r="V439" s="692"/>
      <c r="W439" s="194"/>
      <c r="X439" s="674">
        <v>23</v>
      </c>
      <c r="Y439" s="688">
        <v>0.3</v>
      </c>
      <c r="Z439" s="187">
        <f>R439*Y439</f>
        <v>1476</v>
      </c>
      <c r="AA439" s="187">
        <f>AH439</f>
        <v>1604</v>
      </c>
      <c r="AB439" s="187">
        <f>(R439+Z439)*S439+AA439</f>
        <v>8000</v>
      </c>
      <c r="AC439" s="689">
        <f>AF439</f>
        <v>5500</v>
      </c>
      <c r="AD439" s="689">
        <f>AB439+AC439</f>
        <v>13500</v>
      </c>
      <c r="AE439" s="190">
        <f>13500*S439</f>
        <v>13500</v>
      </c>
      <c r="AF439" s="190">
        <f>AE439-AB439</f>
        <v>5500</v>
      </c>
      <c r="AG439" s="689">
        <f>8000*S439</f>
        <v>8000</v>
      </c>
      <c r="AH439" s="190">
        <f>AG439-(R439+Z439)*S439</f>
        <v>1604</v>
      </c>
      <c r="AI439" s="191">
        <f>G439*S439</f>
        <v>4920</v>
      </c>
      <c r="AJ439" s="191">
        <f>G439*T439</f>
        <v>0</v>
      </c>
      <c r="AK439" s="191">
        <f>R439*S439</f>
        <v>4920</v>
      </c>
      <c r="AL439" s="191">
        <f>R439*T439</f>
        <v>0</v>
      </c>
      <c r="AM439" s="191">
        <f t="shared" si="531"/>
        <v>0</v>
      </c>
      <c r="AN439" s="191">
        <f t="shared" si="531"/>
        <v>0</v>
      </c>
      <c r="AO439" s="193">
        <f>Z439*S439</f>
        <v>1476</v>
      </c>
      <c r="AP439" s="193">
        <f>Z439*T439</f>
        <v>0</v>
      </c>
      <c r="AQ439" s="193">
        <f>AA439</f>
        <v>1604</v>
      </c>
      <c r="AR439" s="193">
        <f>W439*S439</f>
        <v>0</v>
      </c>
      <c r="AS439" s="193">
        <f>W439*T439</f>
        <v>0</v>
      </c>
      <c r="AT439" s="197">
        <f t="shared" si="532"/>
        <v>4920</v>
      </c>
      <c r="AU439" s="197">
        <f t="shared" si="532"/>
        <v>0</v>
      </c>
      <c r="AV439" s="191"/>
      <c r="AW439" s="236">
        <f>R439*S439</f>
        <v>4920</v>
      </c>
      <c r="AX439" s="236"/>
    </row>
    <row r="440" spans="2:50" s="71" customFormat="1" ht="31.5">
      <c r="B440" s="660"/>
      <c r="C440" s="168" t="s">
        <v>1662</v>
      </c>
      <c r="D440" s="195"/>
      <c r="E440" s="182"/>
      <c r="F440" s="181"/>
      <c r="G440" s="173">
        <f>SUM(G437:G439)</f>
        <v>10735</v>
      </c>
      <c r="H440" s="705"/>
      <c r="I440" s="173"/>
      <c r="J440" s="705"/>
      <c r="K440" s="173"/>
      <c r="L440" s="173"/>
      <c r="M440" s="705"/>
      <c r="N440" s="173"/>
      <c r="O440" s="705"/>
      <c r="P440" s="173"/>
      <c r="Q440" s="173"/>
      <c r="R440" s="173">
        <f>SUM(R437:R439)</f>
        <v>10735</v>
      </c>
      <c r="S440" s="171">
        <f>SUM(S437:S439)</f>
        <v>2</v>
      </c>
      <c r="T440" s="171">
        <f>SUM(T437:T439)</f>
        <v>0</v>
      </c>
      <c r="U440" s="173"/>
      <c r="V440" s="704"/>
      <c r="W440" s="173"/>
      <c r="X440" s="704"/>
      <c r="Y440" s="704"/>
      <c r="Z440" s="173">
        <f>SUM(Z437:Z439)</f>
        <v>3220.5</v>
      </c>
      <c r="AA440" s="173">
        <f>SUM(AA437:AA439)</f>
        <v>2044.5</v>
      </c>
      <c r="AB440" s="173">
        <f>SUM(AB437:AB439)</f>
        <v>16000</v>
      </c>
      <c r="AC440" s="173">
        <f>SUM(AC437:AC439)</f>
        <v>11000</v>
      </c>
      <c r="AD440" s="173">
        <f>SUM(AD437:AD439)</f>
        <v>27000</v>
      </c>
      <c r="AE440" s="173">
        <f t="shared" ref="AE440:AV440" si="533">SUM(AE437:AE439)</f>
        <v>27000</v>
      </c>
      <c r="AF440" s="173">
        <f t="shared" si="533"/>
        <v>11000</v>
      </c>
      <c r="AG440" s="173">
        <f t="shared" si="533"/>
        <v>16000</v>
      </c>
      <c r="AH440" s="173">
        <f t="shared" si="533"/>
        <v>2044.5</v>
      </c>
      <c r="AI440" s="173">
        <f t="shared" si="533"/>
        <v>10735</v>
      </c>
      <c r="AJ440" s="173">
        <f t="shared" si="533"/>
        <v>0</v>
      </c>
      <c r="AK440" s="173">
        <f t="shared" si="533"/>
        <v>10735</v>
      </c>
      <c r="AL440" s="173">
        <f t="shared" si="533"/>
        <v>0</v>
      </c>
      <c r="AM440" s="173">
        <f t="shared" si="533"/>
        <v>0</v>
      </c>
      <c r="AN440" s="173">
        <f t="shared" si="533"/>
        <v>0</v>
      </c>
      <c r="AO440" s="173">
        <f t="shared" si="533"/>
        <v>3220.5</v>
      </c>
      <c r="AP440" s="173">
        <f t="shared" si="533"/>
        <v>0</v>
      </c>
      <c r="AQ440" s="173">
        <f t="shared" si="533"/>
        <v>2044.5</v>
      </c>
      <c r="AR440" s="173">
        <f t="shared" si="533"/>
        <v>0</v>
      </c>
      <c r="AS440" s="173">
        <f t="shared" si="533"/>
        <v>0</v>
      </c>
      <c r="AT440" s="173">
        <f t="shared" si="533"/>
        <v>10735</v>
      </c>
      <c r="AU440" s="173">
        <f t="shared" si="533"/>
        <v>0</v>
      </c>
      <c r="AV440" s="173">
        <f t="shared" si="533"/>
        <v>0</v>
      </c>
      <c r="AW440" s="173">
        <f>SUM(AW437:AW439)</f>
        <v>10735</v>
      </c>
      <c r="AX440" s="173">
        <f>SUM(AX437:AX439)</f>
        <v>0</v>
      </c>
    </row>
    <row r="441" spans="2:50" s="71" customFormat="1" ht="31.5">
      <c r="B441" s="660"/>
      <c r="C441" s="168" t="s">
        <v>1223</v>
      </c>
      <c r="D441" s="195"/>
      <c r="E441" s="181"/>
      <c r="F441" s="181"/>
      <c r="G441" s="171">
        <f>G435+G440</f>
        <v>17988</v>
      </c>
      <c r="H441" s="693"/>
      <c r="I441" s="171"/>
      <c r="J441" s="693"/>
      <c r="K441" s="171"/>
      <c r="L441" s="171"/>
      <c r="M441" s="693"/>
      <c r="N441" s="171"/>
      <c r="O441" s="693"/>
      <c r="P441" s="171"/>
      <c r="Q441" s="171"/>
      <c r="R441" s="171">
        <f t="shared" ref="R441:AB441" si="534">R435+R440</f>
        <v>17988</v>
      </c>
      <c r="S441" s="171">
        <f t="shared" si="534"/>
        <v>2</v>
      </c>
      <c r="T441" s="171">
        <f t="shared" si="534"/>
        <v>0.5</v>
      </c>
      <c r="U441" s="171"/>
      <c r="V441" s="693"/>
      <c r="W441" s="171"/>
      <c r="X441" s="693"/>
      <c r="Y441" s="693"/>
      <c r="Z441" s="171">
        <f t="shared" si="534"/>
        <v>5396.4</v>
      </c>
      <c r="AA441" s="171">
        <f t="shared" si="534"/>
        <v>2044.5</v>
      </c>
      <c r="AB441" s="171">
        <f t="shared" si="534"/>
        <v>20714.45</v>
      </c>
      <c r="AC441" s="171">
        <f>AC435+AC440</f>
        <v>16285.55</v>
      </c>
      <c r="AD441" s="171">
        <f>AD435+AD440</f>
        <v>37000</v>
      </c>
      <c r="AE441" s="171">
        <f t="shared" ref="AE441:AX441" si="535">AE435+AE440</f>
        <v>37000</v>
      </c>
      <c r="AF441" s="171">
        <f t="shared" si="535"/>
        <v>16285.55</v>
      </c>
      <c r="AG441" s="171">
        <f>AG435+AG440</f>
        <v>20000</v>
      </c>
      <c r="AH441" s="171">
        <f t="shared" si="535"/>
        <v>1330.0500000000002</v>
      </c>
      <c r="AI441" s="171">
        <f t="shared" si="535"/>
        <v>10735</v>
      </c>
      <c r="AJ441" s="171">
        <f t="shared" si="535"/>
        <v>3626.5</v>
      </c>
      <c r="AK441" s="171">
        <f t="shared" si="535"/>
        <v>10735</v>
      </c>
      <c r="AL441" s="171">
        <f t="shared" si="535"/>
        <v>3626.5</v>
      </c>
      <c r="AM441" s="171">
        <f t="shared" si="535"/>
        <v>0</v>
      </c>
      <c r="AN441" s="171">
        <f t="shared" si="535"/>
        <v>0</v>
      </c>
      <c r="AO441" s="171">
        <f t="shared" si="535"/>
        <v>3220.5</v>
      </c>
      <c r="AP441" s="171">
        <f t="shared" si="535"/>
        <v>1087.95</v>
      </c>
      <c r="AQ441" s="171">
        <f t="shared" si="535"/>
        <v>2044.5</v>
      </c>
      <c r="AR441" s="171">
        <f t="shared" si="535"/>
        <v>0</v>
      </c>
      <c r="AS441" s="171">
        <f t="shared" si="535"/>
        <v>0</v>
      </c>
      <c r="AT441" s="171">
        <f t="shared" si="535"/>
        <v>10735</v>
      </c>
      <c r="AU441" s="171">
        <f t="shared" si="535"/>
        <v>3626.5</v>
      </c>
      <c r="AV441" s="171">
        <f t="shared" si="535"/>
        <v>0</v>
      </c>
      <c r="AW441" s="171">
        <f t="shared" si="535"/>
        <v>14361.5</v>
      </c>
      <c r="AX441" s="171">
        <f t="shared" si="535"/>
        <v>0</v>
      </c>
    </row>
    <row r="442" spans="2:50" s="69" customFormat="1" ht="61.5">
      <c r="B442" s="660"/>
      <c r="C442" s="179" t="s">
        <v>1032</v>
      </c>
      <c r="D442" s="180"/>
      <c r="E442" s="181"/>
      <c r="F442" s="181"/>
      <c r="G442" s="181"/>
      <c r="H442" s="682"/>
      <c r="I442" s="181"/>
      <c r="J442" s="682"/>
      <c r="K442" s="181"/>
      <c r="L442" s="181"/>
      <c r="M442" s="682"/>
      <c r="N442" s="181"/>
      <c r="O442" s="682"/>
      <c r="P442" s="181"/>
      <c r="Q442" s="181"/>
      <c r="R442" s="181"/>
      <c r="S442" s="181"/>
      <c r="T442" s="181"/>
      <c r="U442" s="181"/>
      <c r="V442" s="683"/>
      <c r="W442" s="181"/>
      <c r="X442" s="683"/>
      <c r="Y442" s="683"/>
      <c r="Z442" s="181"/>
      <c r="AA442" s="181"/>
      <c r="AB442" s="181"/>
      <c r="AC442" s="183"/>
      <c r="AD442" s="183"/>
      <c r="AE442" s="183"/>
      <c r="AF442" s="183"/>
      <c r="AG442" s="183"/>
      <c r="AH442" s="183"/>
      <c r="AI442" s="191">
        <f>G442*S442</f>
        <v>0</v>
      </c>
      <c r="AJ442" s="191">
        <f>G442*T442</f>
        <v>0</v>
      </c>
      <c r="AK442" s="191">
        <f>R442*S442</f>
        <v>0</v>
      </c>
      <c r="AL442" s="191">
        <f>R442*T442</f>
        <v>0</v>
      </c>
      <c r="AM442" s="191">
        <f t="shared" ref="AM442:AN445" si="536">AK442-AI442</f>
        <v>0</v>
      </c>
      <c r="AN442" s="191">
        <f t="shared" si="536"/>
        <v>0</v>
      </c>
      <c r="AO442" s="193">
        <f>Z442*S442</f>
        <v>0</v>
      </c>
      <c r="AP442" s="193">
        <f>Z442*T442</f>
        <v>0</v>
      </c>
      <c r="AQ442" s="193">
        <f>AA442</f>
        <v>0</v>
      </c>
      <c r="AR442" s="193">
        <f>W442*S442</f>
        <v>0</v>
      </c>
      <c r="AS442" s="193">
        <f>W442*T442</f>
        <v>0</v>
      </c>
      <c r="AT442" s="197">
        <f t="shared" ref="AT442:AU445" si="537">AK442</f>
        <v>0</v>
      </c>
      <c r="AU442" s="197">
        <f t="shared" si="537"/>
        <v>0</v>
      </c>
      <c r="AV442" s="191"/>
      <c r="AW442" s="236"/>
      <c r="AX442" s="236"/>
    </row>
    <row r="443" spans="2:50" s="69" customFormat="1" ht="63">
      <c r="B443" s="660">
        <f>1+B439</f>
        <v>273</v>
      </c>
      <c r="C443" s="185" t="s">
        <v>1035</v>
      </c>
      <c r="D443" s="186" t="s">
        <v>1674</v>
      </c>
      <c r="E443" s="660" t="s">
        <v>1073</v>
      </c>
      <c r="F443" s="660">
        <v>6</v>
      </c>
      <c r="G443" s="187">
        <v>4633</v>
      </c>
      <c r="H443" s="687"/>
      <c r="I443" s="187"/>
      <c r="J443" s="687"/>
      <c r="K443" s="187"/>
      <c r="L443" s="187"/>
      <c r="M443" s="687"/>
      <c r="N443" s="187"/>
      <c r="O443" s="687"/>
      <c r="P443" s="187"/>
      <c r="Q443" s="187"/>
      <c r="R443" s="187">
        <f>G443+I443+K443+L443+N443+P443+Q443</f>
        <v>4633</v>
      </c>
      <c r="S443" s="187">
        <v>1</v>
      </c>
      <c r="T443" s="187"/>
      <c r="U443" s="187"/>
      <c r="V443" s="687"/>
      <c r="W443" s="187"/>
      <c r="X443" s="674">
        <v>16</v>
      </c>
      <c r="Y443" s="688">
        <v>0.2</v>
      </c>
      <c r="Z443" s="187">
        <f>R443*Y443</f>
        <v>926.6</v>
      </c>
      <c r="AA443" s="187">
        <f>AH443</f>
        <v>2440.3999999999996</v>
      </c>
      <c r="AB443" s="187">
        <f>(R443+Z443)*S443+AA443</f>
        <v>8000</v>
      </c>
      <c r="AC443" s="689">
        <f>AF443</f>
        <v>5500</v>
      </c>
      <c r="AD443" s="689">
        <f>AB443+AC443</f>
        <v>13500</v>
      </c>
      <c r="AE443" s="190">
        <f>13500*S443</f>
        <v>13500</v>
      </c>
      <c r="AF443" s="190">
        <f>AE443-AB443</f>
        <v>5500</v>
      </c>
      <c r="AG443" s="689">
        <f>8000*S443</f>
        <v>8000</v>
      </c>
      <c r="AH443" s="190">
        <f>AG443-(R443+Z443)*S443</f>
        <v>2440.3999999999996</v>
      </c>
      <c r="AI443" s="191">
        <f>G443*S443</f>
        <v>4633</v>
      </c>
      <c r="AJ443" s="191">
        <f>G443*S443</f>
        <v>4633</v>
      </c>
      <c r="AK443" s="191">
        <f>R443*S443</f>
        <v>4633</v>
      </c>
      <c r="AL443" s="191">
        <f>R443*S443</f>
        <v>4633</v>
      </c>
      <c r="AM443" s="191">
        <f t="shared" si="536"/>
        <v>0</v>
      </c>
      <c r="AN443" s="191">
        <f t="shared" si="536"/>
        <v>0</v>
      </c>
      <c r="AO443" s="193">
        <f>Z443*S443</f>
        <v>926.6</v>
      </c>
      <c r="AP443" s="193">
        <f>Z443*T443</f>
        <v>0</v>
      </c>
      <c r="AQ443" s="193">
        <f>AA443</f>
        <v>2440.3999999999996</v>
      </c>
      <c r="AR443" s="193">
        <f>W443*S443</f>
        <v>0</v>
      </c>
      <c r="AS443" s="193">
        <f>W443*T443</f>
        <v>0</v>
      </c>
      <c r="AT443" s="197">
        <f t="shared" si="537"/>
        <v>4633</v>
      </c>
      <c r="AU443" s="197">
        <f t="shared" si="537"/>
        <v>4633</v>
      </c>
      <c r="AV443" s="191"/>
      <c r="AW443" s="236">
        <f>R443*S443</f>
        <v>4633</v>
      </c>
      <c r="AX443" s="236"/>
    </row>
    <row r="444" spans="2:50" s="69" customFormat="1" ht="63">
      <c r="B444" s="660">
        <f>B443+1</f>
        <v>274</v>
      </c>
      <c r="C444" s="185" t="s">
        <v>1035</v>
      </c>
      <c r="D444" s="186" t="s">
        <v>1291</v>
      </c>
      <c r="E444" s="660" t="s">
        <v>337</v>
      </c>
      <c r="F444" s="660">
        <v>9</v>
      </c>
      <c r="G444" s="187">
        <v>5527</v>
      </c>
      <c r="H444" s="687"/>
      <c r="I444" s="187"/>
      <c r="J444" s="687"/>
      <c r="K444" s="187"/>
      <c r="L444" s="187"/>
      <c r="M444" s="687"/>
      <c r="N444" s="187"/>
      <c r="O444" s="687"/>
      <c r="P444" s="187"/>
      <c r="Q444" s="187"/>
      <c r="R444" s="187">
        <f>G444+I444+K444+L444+N444+P444+Q444</f>
        <v>5527</v>
      </c>
      <c r="S444" s="187"/>
      <c r="T444" s="187">
        <v>0.25</v>
      </c>
      <c r="U444" s="187"/>
      <c r="V444" s="687"/>
      <c r="W444" s="187"/>
      <c r="X444" s="674">
        <v>29</v>
      </c>
      <c r="Y444" s="688">
        <v>0.3</v>
      </c>
      <c r="Z444" s="187">
        <f>R444*Y444</f>
        <v>1658.1</v>
      </c>
      <c r="AA444" s="187">
        <f>AH444</f>
        <v>203.72499999999991</v>
      </c>
      <c r="AB444" s="187">
        <f>(R444+Z444)*T444+AA444</f>
        <v>2000</v>
      </c>
      <c r="AC444" s="689">
        <f>AF444</f>
        <v>1375</v>
      </c>
      <c r="AD444" s="689">
        <f>AB444+AC444</f>
        <v>3375</v>
      </c>
      <c r="AE444" s="190">
        <f>13500*T444</f>
        <v>3375</v>
      </c>
      <c r="AF444" s="190">
        <f>AE444-AB444</f>
        <v>1375</v>
      </c>
      <c r="AG444" s="689">
        <f>8000*T444</f>
        <v>2000</v>
      </c>
      <c r="AH444" s="190">
        <f>AG444-(R444+Z444)*T444</f>
        <v>203.72499999999991</v>
      </c>
      <c r="AI444" s="191">
        <f>G444*T444</f>
        <v>1381.75</v>
      </c>
      <c r="AJ444" s="191">
        <f>G444*T444</f>
        <v>1381.75</v>
      </c>
      <c r="AK444" s="191">
        <f>R444*T444</f>
        <v>1381.75</v>
      </c>
      <c r="AL444" s="191">
        <f>R444*T444</f>
        <v>1381.75</v>
      </c>
      <c r="AM444" s="191">
        <f t="shared" si="536"/>
        <v>0</v>
      </c>
      <c r="AN444" s="191">
        <f t="shared" si="536"/>
        <v>0</v>
      </c>
      <c r="AO444" s="193">
        <f>Z444*T444</f>
        <v>414.52499999999998</v>
      </c>
      <c r="AP444" s="193">
        <f>Z444*T444</f>
        <v>414.52499999999998</v>
      </c>
      <c r="AQ444" s="193">
        <f>AA444</f>
        <v>203.72499999999991</v>
      </c>
      <c r="AR444" s="193">
        <f>W444*T444</f>
        <v>0</v>
      </c>
      <c r="AS444" s="193">
        <f>W444*T444</f>
        <v>0</v>
      </c>
      <c r="AT444" s="197">
        <f t="shared" si="537"/>
        <v>1381.75</v>
      </c>
      <c r="AU444" s="197">
        <f t="shared" si="537"/>
        <v>1381.75</v>
      </c>
      <c r="AV444" s="191"/>
      <c r="AW444" s="236">
        <f>R444*T444</f>
        <v>1381.75</v>
      </c>
      <c r="AX444" s="236"/>
    </row>
    <row r="445" spans="2:50" s="69" customFormat="1" ht="63">
      <c r="B445" s="660">
        <f>B444+1</f>
        <v>275</v>
      </c>
      <c r="C445" s="185" t="s">
        <v>1037</v>
      </c>
      <c r="D445" s="186" t="s">
        <v>338</v>
      </c>
      <c r="E445" s="660" t="s">
        <v>177</v>
      </c>
      <c r="F445" s="660">
        <v>9</v>
      </c>
      <c r="G445" s="187">
        <v>5527</v>
      </c>
      <c r="H445" s="687"/>
      <c r="I445" s="187"/>
      <c r="J445" s="687"/>
      <c r="K445" s="187"/>
      <c r="L445" s="187"/>
      <c r="M445" s="687"/>
      <c r="N445" s="187"/>
      <c r="O445" s="687"/>
      <c r="P445" s="187"/>
      <c r="Q445" s="187"/>
      <c r="R445" s="187">
        <f>G445+I445+K445+L445+N445+P445+Q445</f>
        <v>5527</v>
      </c>
      <c r="S445" s="187"/>
      <c r="T445" s="187">
        <v>0.5</v>
      </c>
      <c r="U445" s="187"/>
      <c r="V445" s="687"/>
      <c r="W445" s="187"/>
      <c r="X445" s="692">
        <v>41</v>
      </c>
      <c r="Y445" s="688">
        <v>0.3</v>
      </c>
      <c r="Z445" s="187">
        <f>R445*Y445</f>
        <v>1658.1</v>
      </c>
      <c r="AA445" s="187">
        <f>AH445</f>
        <v>407.44999999999982</v>
      </c>
      <c r="AB445" s="187">
        <f>(R445+Z445)*T445+AA445</f>
        <v>4000</v>
      </c>
      <c r="AC445" s="689">
        <f>AF445</f>
        <v>2750</v>
      </c>
      <c r="AD445" s="689">
        <f>AB445+AC445</f>
        <v>6750</v>
      </c>
      <c r="AE445" s="190">
        <f>13500*T445</f>
        <v>6750</v>
      </c>
      <c r="AF445" s="190">
        <f>AE445-AB445</f>
        <v>2750</v>
      </c>
      <c r="AG445" s="689">
        <f>8000*T445</f>
        <v>4000</v>
      </c>
      <c r="AH445" s="190">
        <f>AG445-(R445+Z445)*T445</f>
        <v>407.44999999999982</v>
      </c>
      <c r="AI445" s="191">
        <f>G445*T445</f>
        <v>2763.5</v>
      </c>
      <c r="AJ445" s="191">
        <f>G445*T445</f>
        <v>2763.5</v>
      </c>
      <c r="AK445" s="191">
        <f>R445*T445</f>
        <v>2763.5</v>
      </c>
      <c r="AL445" s="191">
        <f>R445*T445</f>
        <v>2763.5</v>
      </c>
      <c r="AM445" s="191">
        <f t="shared" si="536"/>
        <v>0</v>
      </c>
      <c r="AN445" s="191">
        <f t="shared" si="536"/>
        <v>0</v>
      </c>
      <c r="AO445" s="193">
        <f>Z445*T445</f>
        <v>829.05</v>
      </c>
      <c r="AP445" s="193">
        <f>Z445*T445</f>
        <v>829.05</v>
      </c>
      <c r="AQ445" s="193">
        <f>AA445</f>
        <v>407.44999999999982</v>
      </c>
      <c r="AR445" s="193">
        <f>W445*T445</f>
        <v>0</v>
      </c>
      <c r="AS445" s="193">
        <f>W445*T445</f>
        <v>0</v>
      </c>
      <c r="AT445" s="197">
        <f t="shared" si="537"/>
        <v>2763.5</v>
      </c>
      <c r="AU445" s="197">
        <f t="shared" si="537"/>
        <v>2763.5</v>
      </c>
      <c r="AV445" s="191"/>
      <c r="AW445" s="236">
        <f>R445*T445</f>
        <v>2763.5</v>
      </c>
      <c r="AX445" s="236"/>
    </row>
    <row r="446" spans="2:50" s="167" customFormat="1" ht="33">
      <c r="B446" s="179"/>
      <c r="C446" s="168" t="s">
        <v>1662</v>
      </c>
      <c r="D446" s="211"/>
      <c r="E446" s="181"/>
      <c r="F446" s="181"/>
      <c r="G446" s="171">
        <f>SUM(G443:G445)</f>
        <v>15687</v>
      </c>
      <c r="H446" s="693"/>
      <c r="I446" s="171">
        <f>SUM(I443:I445)</f>
        <v>0</v>
      </c>
      <c r="J446" s="683"/>
      <c r="K446" s="181"/>
      <c r="L446" s="181"/>
      <c r="M446" s="683"/>
      <c r="N446" s="171">
        <f>SUM(N443:N445)</f>
        <v>0</v>
      </c>
      <c r="O446" s="683"/>
      <c r="P446" s="181"/>
      <c r="Q446" s="181"/>
      <c r="R446" s="171">
        <f>SUM(R443:R445)</f>
        <v>15687</v>
      </c>
      <c r="S446" s="171">
        <f>SUM(S443:S445)</f>
        <v>1</v>
      </c>
      <c r="T446" s="171">
        <f>SUM(T443:T445)</f>
        <v>0.75</v>
      </c>
      <c r="U446" s="171"/>
      <c r="V446" s="693"/>
      <c r="W446" s="171"/>
      <c r="X446" s="693"/>
      <c r="Y446" s="693"/>
      <c r="Z446" s="171">
        <f t="shared" ref="Z446:AG446" si="538">SUM(Z443:Z445)</f>
        <v>4242.7999999999993</v>
      </c>
      <c r="AA446" s="171">
        <f t="shared" si="538"/>
        <v>3051.5749999999994</v>
      </c>
      <c r="AB446" s="171">
        <f t="shared" si="538"/>
        <v>14000</v>
      </c>
      <c r="AC446" s="171">
        <f t="shared" si="538"/>
        <v>9625</v>
      </c>
      <c r="AD446" s="171">
        <f t="shared" si="538"/>
        <v>23625</v>
      </c>
      <c r="AE446" s="171">
        <f t="shared" si="538"/>
        <v>23625</v>
      </c>
      <c r="AF446" s="171">
        <f t="shared" si="538"/>
        <v>9625</v>
      </c>
      <c r="AG446" s="171">
        <f t="shared" si="538"/>
        <v>14000</v>
      </c>
      <c r="AH446" s="171">
        <f t="shared" ref="AH446:AV446" si="539">SUM(AH443:AH445)</f>
        <v>3051.5749999999994</v>
      </c>
      <c r="AI446" s="171">
        <f t="shared" si="539"/>
        <v>8778.25</v>
      </c>
      <c r="AJ446" s="171">
        <f t="shared" si="539"/>
        <v>8778.25</v>
      </c>
      <c r="AK446" s="171">
        <f t="shared" si="539"/>
        <v>8778.25</v>
      </c>
      <c r="AL446" s="171">
        <f t="shared" si="539"/>
        <v>8778.25</v>
      </c>
      <c r="AM446" s="171">
        <f t="shared" si="539"/>
        <v>0</v>
      </c>
      <c r="AN446" s="171">
        <f t="shared" si="539"/>
        <v>0</v>
      </c>
      <c r="AO446" s="171">
        <f t="shared" si="539"/>
        <v>2170.1750000000002</v>
      </c>
      <c r="AP446" s="171">
        <f t="shared" si="539"/>
        <v>1243.5749999999998</v>
      </c>
      <c r="AQ446" s="171">
        <f t="shared" si="539"/>
        <v>3051.5749999999994</v>
      </c>
      <c r="AR446" s="171">
        <f t="shared" si="539"/>
        <v>0</v>
      </c>
      <c r="AS446" s="171">
        <f t="shared" si="539"/>
        <v>0</v>
      </c>
      <c r="AT446" s="171">
        <f t="shared" si="539"/>
        <v>8778.25</v>
      </c>
      <c r="AU446" s="171">
        <f t="shared" si="539"/>
        <v>8778.25</v>
      </c>
      <c r="AV446" s="171">
        <f t="shared" si="539"/>
        <v>0</v>
      </c>
      <c r="AW446" s="171">
        <f>SUM(AW443:AW445)</f>
        <v>8778.25</v>
      </c>
      <c r="AX446" s="171">
        <f>SUM(AX443:AX445)</f>
        <v>0</v>
      </c>
    </row>
    <row r="447" spans="2:50" s="167" customFormat="1" ht="33">
      <c r="B447" s="168"/>
      <c r="C447" s="168"/>
      <c r="D447" s="176"/>
      <c r="E447" s="168"/>
      <c r="F447" s="168"/>
      <c r="G447" s="169">
        <f>G19+G27+G32+G46+G94+G137+G171+G191+G215+G240+G259+G307+G341+G364+G368+G387+G399+G430+G441+G446</f>
        <v>1490447.125</v>
      </c>
      <c r="H447" s="707"/>
      <c r="I447" s="169">
        <f>I19+I27+I32+I46+I94+I137+I171+I191+I215+I240+I259+I307+I341+I364+I368+I387+I399+I430+I441+I446</f>
        <v>10858.094999999999</v>
      </c>
      <c r="J447" s="707"/>
      <c r="K447" s="169">
        <f>K19+K27+K32+K46+K94+K137+K171+K191+K215+K240+K259+K307+K341+K364+K368+K387+K399+K430+K441+K446</f>
        <v>12248.130000000001</v>
      </c>
      <c r="L447" s="169"/>
      <c r="M447" s="707"/>
      <c r="N447" s="169">
        <f>N19+N27+N32+N46+N94+N137+N171+N191+N215+N240+N259+N307+N341+N364+N368+N387+N399+N430+N441+N446</f>
        <v>10254.18525</v>
      </c>
      <c r="O447" s="707"/>
      <c r="P447" s="169">
        <f>P19+P27+P32+P46+P94+P137+P171+P191+P215+P240+P259+P307+P341+P364+P368+P387+P399+P430+P441+P446</f>
        <v>44205.270000000004</v>
      </c>
      <c r="Q447" s="169"/>
      <c r="R447" s="169">
        <f>R19+R27+R32+R46+R94+R137+R171+R191+R215+R240+R259+R307+R341+R364+R368+R387+R399+R430+R441+R446</f>
        <v>1585377.8242500001</v>
      </c>
      <c r="S447" s="170">
        <f>S19+S27+S32+S46+S94+S137+S171+S191+S215+S240+S259+S307+S341+S364+S368+S387+S399+S430+S441+S446</f>
        <v>232.25</v>
      </c>
      <c r="T447" s="170">
        <f>T19+T27+T32+T46+T94+T137+T171+T191+T215+T240+T259+T307+T341+T364+T368+T387+T399+T430+T441+T446</f>
        <v>16.25</v>
      </c>
      <c r="U447" s="169"/>
      <c r="V447" s="707"/>
      <c r="W447" s="169">
        <f>W19+W27+W32+W46+W94+W137+W171+W191+W215+W240+W259+W307+W341+W364+W368+W387+W399+W430+W441+W446</f>
        <v>19089.3</v>
      </c>
      <c r="X447" s="707"/>
      <c r="Y447" s="707"/>
      <c r="Z447" s="169">
        <f t="shared" ref="Z447:AV447" si="540">Z19+Z27+Z32+Z46+Z94+Z137+Z171+Z191+Z215+Z240+Z259+Z307+Z341+Z364+Z368+Z387+Z399+Z430+Z441+Z446</f>
        <v>253332.11462499996</v>
      </c>
      <c r="AA447" s="169">
        <f>AA19+AA27+AA32+AA46+AA94+AA137+AA171+AA191+AA215+AA240+AA259+AA307+AA341+AA364+AA368+AA387+AA399+AA430+AA441+AA446+AA36</f>
        <v>479823.00000000006</v>
      </c>
      <c r="AB447" s="169">
        <f>AB19+AB27+AB32+AB46+AB94+AB137+AB171+AB191+AB215+AB240+AB259+AB307+AB341+AB364+AB368+AB387+AB399+AB430+AB441+AB446+AB36</f>
        <v>2144898.4763750001</v>
      </c>
      <c r="AC447" s="169">
        <f>AC19+AC27+AC32+AC46+AC94+AC137+AC171+AC191+AC215+AC240+AC259+AC307+AC341+AC364+AC368+AC387+AC399+AC430+AC441+AC446</f>
        <v>1087773.6705750001</v>
      </c>
      <c r="AD447" s="169">
        <f t="shared" si="540"/>
        <v>2991797.14695</v>
      </c>
      <c r="AE447" s="169">
        <f t="shared" si="540"/>
        <v>2991446.5202250001</v>
      </c>
      <c r="AF447" s="169">
        <f t="shared" si="540"/>
        <v>969262.4938500002</v>
      </c>
      <c r="AG447" s="169">
        <f>AG19+AG27+AG32+AG46+AG94+AG137+AG171+AG191+AG215+AG240+AG259+AG307+AG341+AG364+AG368+AG387+AG399+AG430+AG441+AG446</f>
        <v>1882000</v>
      </c>
      <c r="AH447" s="169">
        <f t="shared" si="540"/>
        <v>386611.53425000008</v>
      </c>
      <c r="AI447" s="169">
        <f t="shared" si="540"/>
        <v>1110394.625</v>
      </c>
      <c r="AJ447" s="169">
        <f t="shared" si="540"/>
        <v>155259.85999999999</v>
      </c>
      <c r="AK447" s="169">
        <f t="shared" si="540"/>
        <v>1180195.8442499998</v>
      </c>
      <c r="AL447" s="169">
        <f t="shared" si="540"/>
        <v>157612.35649999999</v>
      </c>
      <c r="AM447" s="169">
        <f t="shared" si="540"/>
        <v>72751.594249999995</v>
      </c>
      <c r="AN447" s="169">
        <f t="shared" si="540"/>
        <v>1916.3714999999997</v>
      </c>
      <c r="AO447" s="169">
        <f t="shared" si="540"/>
        <v>200890.65237500001</v>
      </c>
      <c r="AP447" s="169">
        <f t="shared" si="540"/>
        <v>19126.013500000001</v>
      </c>
      <c r="AQ447" s="169">
        <f t="shared" si="540"/>
        <v>422776.22250000003</v>
      </c>
      <c r="AR447" s="169">
        <f t="shared" si="540"/>
        <v>18712.300000000003</v>
      </c>
      <c r="AS447" s="169">
        <f t="shared" si="540"/>
        <v>2262</v>
      </c>
      <c r="AT447" s="169">
        <f t="shared" si="540"/>
        <v>1174392.2192499998</v>
      </c>
      <c r="AU447" s="169">
        <f t="shared" si="540"/>
        <v>154268.73149999999</v>
      </c>
      <c r="AV447" s="169">
        <f t="shared" si="540"/>
        <v>0</v>
      </c>
      <c r="AW447" s="169">
        <f>AW19+AW27+AW32+AW46+AW94+AW137+AW171+AW191+AW215+AW240+AW259+AW307+AW341+AW364+AW368+AW387+AW399+AW430+AW441+AW446</f>
        <v>1321750.3117499999</v>
      </c>
      <c r="AX447" s="169">
        <f>AX19+AX27+AX32+AX46+AX94+AX137+AX171+AX191+AX215+AX240+AX259+AX307+AX341+AX364+AX368+AX387+AX399+AX430+AX441+AX446</f>
        <v>88000</v>
      </c>
    </row>
    <row r="448" spans="2:50" s="71" customFormat="1" ht="30.75">
      <c r="B448" s="168"/>
      <c r="C448" s="168"/>
      <c r="D448" s="176"/>
      <c r="E448" s="168"/>
      <c r="F448" s="168"/>
      <c r="G448" s="168"/>
      <c r="H448" s="708"/>
      <c r="I448" s="168"/>
      <c r="J448" s="708"/>
      <c r="K448" s="168"/>
      <c r="L448" s="168"/>
      <c r="M448" s="708"/>
      <c r="N448" s="168"/>
      <c r="O448" s="708"/>
      <c r="P448" s="168"/>
      <c r="Q448" s="168"/>
      <c r="R448" s="168"/>
      <c r="S448" s="168"/>
      <c r="T448" s="168"/>
      <c r="U448" s="168"/>
      <c r="V448" s="708"/>
      <c r="W448" s="168"/>
      <c r="X448" s="708"/>
      <c r="Y448" s="708"/>
      <c r="Z448" s="168"/>
      <c r="AA448" s="168"/>
      <c r="AB448" s="168"/>
      <c r="AC448" s="166"/>
      <c r="AD448" s="166"/>
      <c r="AE448" s="166"/>
      <c r="AF448" s="166"/>
      <c r="AG448" s="166"/>
      <c r="AH448" s="166"/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</row>
    <row r="449" spans="2:50" s="220" customFormat="1" ht="27.75" hidden="1" customHeight="1">
      <c r="B449" s="217"/>
      <c r="C449" s="112" t="str">
        <f>C9</f>
        <v>АДМІНІСТРАЦІЯ</v>
      </c>
      <c r="D449" s="217"/>
      <c r="E449" s="217"/>
      <c r="F449" s="217"/>
      <c r="G449" s="217"/>
      <c r="H449" s="709"/>
      <c r="I449" s="217"/>
      <c r="J449" s="709"/>
      <c r="K449" s="217"/>
      <c r="L449" s="217"/>
      <c r="M449" s="709"/>
      <c r="N449" s="217"/>
      <c r="O449" s="709"/>
      <c r="P449" s="217"/>
      <c r="Q449" s="217"/>
      <c r="R449" s="217"/>
      <c r="S449" s="218">
        <f>S19</f>
        <v>6</v>
      </c>
      <c r="T449" s="218">
        <f>T19</f>
        <v>0</v>
      </c>
      <c r="U449" s="218"/>
      <c r="V449" s="703"/>
      <c r="W449" s="218"/>
      <c r="X449" s="703"/>
      <c r="Y449" s="703"/>
      <c r="Z449" s="218"/>
      <c r="AA449" s="218"/>
      <c r="AB449" s="219">
        <f t="shared" ref="AB449:AW449" si="541">AB19</f>
        <v>90788.770374999993</v>
      </c>
      <c r="AC449" s="219">
        <f t="shared" si="541"/>
        <v>7439.9500750000007</v>
      </c>
      <c r="AD449" s="219">
        <f t="shared" si="541"/>
        <v>98228.720449999993</v>
      </c>
      <c r="AE449" s="219">
        <f t="shared" si="541"/>
        <v>97878.093724999999</v>
      </c>
      <c r="AF449" s="219">
        <f t="shared" si="541"/>
        <v>7089.3233500000024</v>
      </c>
      <c r="AG449" s="219">
        <f t="shared" si="541"/>
        <v>48000</v>
      </c>
      <c r="AH449" s="219">
        <f t="shared" si="541"/>
        <v>3367</v>
      </c>
      <c r="AI449" s="219">
        <f t="shared" si="541"/>
        <v>59165.015000000007</v>
      </c>
      <c r="AJ449" s="219">
        <f t="shared" si="541"/>
        <v>0</v>
      </c>
      <c r="AK449" s="219">
        <f t="shared" si="541"/>
        <v>71548.497749999995</v>
      </c>
      <c r="AL449" s="219">
        <f t="shared" si="541"/>
        <v>0</v>
      </c>
      <c r="AM449" s="219">
        <f t="shared" si="541"/>
        <v>12383.482749999999</v>
      </c>
      <c r="AN449" s="219">
        <f t="shared" si="541"/>
        <v>0</v>
      </c>
      <c r="AO449" s="219">
        <f t="shared" si="541"/>
        <v>15873.272624999998</v>
      </c>
      <c r="AP449" s="219">
        <f t="shared" si="541"/>
        <v>0</v>
      </c>
      <c r="AQ449" s="219">
        <f t="shared" si="541"/>
        <v>3367</v>
      </c>
      <c r="AR449" s="219">
        <f t="shared" si="541"/>
        <v>0</v>
      </c>
      <c r="AS449" s="219">
        <f t="shared" si="541"/>
        <v>0</v>
      </c>
      <c r="AT449" s="219">
        <f t="shared" si="541"/>
        <v>71548.497749999995</v>
      </c>
      <c r="AU449" s="219">
        <f t="shared" si="541"/>
        <v>0</v>
      </c>
      <c r="AV449" s="219">
        <f t="shared" si="541"/>
        <v>0</v>
      </c>
      <c r="AW449" s="219">
        <f t="shared" si="541"/>
        <v>71548.497749999995</v>
      </c>
      <c r="AX449" s="217"/>
    </row>
    <row r="450" spans="2:50" s="220" customFormat="1" ht="27.75" hidden="1" customHeight="1">
      <c r="B450" s="217"/>
      <c r="C450" s="112" t="str">
        <f>C20</f>
        <v>БУХГАЛТЕРСЬКИЙ ВІДДІЛ</v>
      </c>
      <c r="D450" s="217"/>
      <c r="E450" s="217"/>
      <c r="F450" s="217"/>
      <c r="G450" s="217"/>
      <c r="H450" s="709"/>
      <c r="I450" s="217"/>
      <c r="J450" s="709"/>
      <c r="K450" s="217"/>
      <c r="L450" s="217"/>
      <c r="M450" s="709"/>
      <c r="N450" s="217"/>
      <c r="O450" s="709"/>
      <c r="P450" s="217"/>
      <c r="Q450" s="217"/>
      <c r="R450" s="217"/>
      <c r="S450" s="218">
        <f>S27</f>
        <v>5.5</v>
      </c>
      <c r="T450" s="218">
        <f>T27</f>
        <v>0</v>
      </c>
      <c r="U450" s="218"/>
      <c r="V450" s="703"/>
      <c r="W450" s="218"/>
      <c r="X450" s="703"/>
      <c r="Y450" s="703"/>
      <c r="Z450" s="218"/>
      <c r="AA450" s="218"/>
      <c r="AB450" s="219">
        <f t="shared" ref="AB450:AV450" si="542">AB27</f>
        <v>48604.126499999998</v>
      </c>
      <c r="AC450" s="219">
        <f t="shared" si="542"/>
        <v>0</v>
      </c>
      <c r="AD450" s="219">
        <f t="shared" si="542"/>
        <v>48604.126499999998</v>
      </c>
      <c r="AE450" s="219">
        <f t="shared" si="542"/>
        <v>48604.126499999998</v>
      </c>
      <c r="AF450" s="219">
        <f t="shared" si="542"/>
        <v>0</v>
      </c>
      <c r="AG450" s="219">
        <f t="shared" si="542"/>
        <v>44000</v>
      </c>
      <c r="AH450" s="219">
        <f t="shared" si="542"/>
        <v>14291</v>
      </c>
      <c r="AI450" s="219">
        <f t="shared" si="542"/>
        <v>32669.11</v>
      </c>
      <c r="AJ450" s="219">
        <f t="shared" si="542"/>
        <v>32669.11</v>
      </c>
      <c r="AK450" s="219">
        <f t="shared" si="542"/>
        <v>34313.126499999998</v>
      </c>
      <c r="AL450" s="219">
        <f t="shared" si="542"/>
        <v>34313.126499999998</v>
      </c>
      <c r="AM450" s="219">
        <f t="shared" si="542"/>
        <v>1644.0164999999997</v>
      </c>
      <c r="AN450" s="219">
        <f t="shared" si="542"/>
        <v>1644.0164999999997</v>
      </c>
      <c r="AO450" s="219">
        <f t="shared" si="542"/>
        <v>0</v>
      </c>
      <c r="AP450" s="219">
        <f t="shared" si="542"/>
        <v>0</v>
      </c>
      <c r="AQ450" s="219">
        <f t="shared" si="542"/>
        <v>14291</v>
      </c>
      <c r="AR450" s="219">
        <f t="shared" si="542"/>
        <v>0</v>
      </c>
      <c r="AS450" s="219">
        <f t="shared" si="542"/>
        <v>0</v>
      </c>
      <c r="AT450" s="219">
        <f t="shared" si="542"/>
        <v>34313.126499999998</v>
      </c>
      <c r="AU450" s="219">
        <f t="shared" si="542"/>
        <v>34313.126499999998</v>
      </c>
      <c r="AV450" s="219">
        <f t="shared" si="542"/>
        <v>0</v>
      </c>
      <c r="AW450" s="219">
        <f>AW27</f>
        <v>34313.126499999998</v>
      </c>
      <c r="AX450" s="217"/>
    </row>
    <row r="451" spans="2:50" s="220" customFormat="1" ht="27.75" hidden="1" customHeight="1">
      <c r="B451" s="217"/>
      <c r="C451" s="112" t="str">
        <f>C28</f>
        <v>ІНФОРМАЦІЙНО - АНАЛІТИЧНИЙ ВІДДІЛ</v>
      </c>
      <c r="D451" s="217"/>
      <c r="E451" s="217"/>
      <c r="F451" s="217"/>
      <c r="G451" s="217"/>
      <c r="H451" s="709"/>
      <c r="I451" s="217"/>
      <c r="J451" s="709"/>
      <c r="K451" s="217"/>
      <c r="L451" s="217"/>
      <c r="M451" s="709"/>
      <c r="N451" s="217"/>
      <c r="O451" s="709"/>
      <c r="P451" s="217"/>
      <c r="Q451" s="217"/>
      <c r="R451" s="217"/>
      <c r="S451" s="218">
        <f>S32</f>
        <v>2</v>
      </c>
      <c r="T451" s="218">
        <f>T32</f>
        <v>0.5</v>
      </c>
      <c r="U451" s="218"/>
      <c r="V451" s="703"/>
      <c r="W451" s="218"/>
      <c r="X451" s="703"/>
      <c r="Y451" s="703"/>
      <c r="Z451" s="218"/>
      <c r="AA451" s="218"/>
      <c r="AB451" s="219">
        <f t="shared" ref="AB451:AW451" si="543">AB32</f>
        <v>20000</v>
      </c>
      <c r="AC451" s="219">
        <f t="shared" si="543"/>
        <v>2750</v>
      </c>
      <c r="AD451" s="219">
        <f t="shared" si="543"/>
        <v>22750</v>
      </c>
      <c r="AE451" s="219">
        <f t="shared" si="543"/>
        <v>22750</v>
      </c>
      <c r="AF451" s="219">
        <f t="shared" si="543"/>
        <v>2750</v>
      </c>
      <c r="AG451" s="219">
        <f t="shared" si="543"/>
        <v>20000</v>
      </c>
      <c r="AH451" s="219">
        <f t="shared" si="543"/>
        <v>7591</v>
      </c>
      <c r="AI451" s="219">
        <f t="shared" si="543"/>
        <v>11885</v>
      </c>
      <c r="AJ451" s="219">
        <f t="shared" si="543"/>
        <v>2620</v>
      </c>
      <c r="AK451" s="219">
        <f t="shared" si="543"/>
        <v>9265</v>
      </c>
      <c r="AL451" s="219">
        <f t="shared" si="543"/>
        <v>2620</v>
      </c>
      <c r="AM451" s="219">
        <f t="shared" si="543"/>
        <v>-2620</v>
      </c>
      <c r="AN451" s="219">
        <f t="shared" si="543"/>
        <v>0</v>
      </c>
      <c r="AO451" s="219">
        <f t="shared" si="543"/>
        <v>524</v>
      </c>
      <c r="AP451" s="219">
        <f t="shared" si="543"/>
        <v>524</v>
      </c>
      <c r="AQ451" s="219">
        <f t="shared" si="543"/>
        <v>7591</v>
      </c>
      <c r="AR451" s="219">
        <f t="shared" si="543"/>
        <v>0</v>
      </c>
      <c r="AS451" s="219">
        <f t="shared" si="543"/>
        <v>0</v>
      </c>
      <c r="AT451" s="219">
        <f t="shared" si="543"/>
        <v>9265</v>
      </c>
      <c r="AU451" s="219">
        <f t="shared" si="543"/>
        <v>2620</v>
      </c>
      <c r="AV451" s="219">
        <f t="shared" si="543"/>
        <v>0</v>
      </c>
      <c r="AW451" s="219">
        <f t="shared" si="543"/>
        <v>11885</v>
      </c>
      <c r="AX451" s="217"/>
    </row>
    <row r="452" spans="2:50" s="220" customFormat="1" ht="52.5" hidden="1" customHeight="1">
      <c r="B452" s="217"/>
      <c r="C452" s="112" t="str">
        <f>C37</f>
        <v>ВІДДІЛ ПРАЦІ ТА СОЦІАЛЬНО-ПРАВОВОГО ЗАБЕЗПЕЧЕННЯ</v>
      </c>
      <c r="D452" s="217"/>
      <c r="E452" s="217"/>
      <c r="F452" s="217"/>
      <c r="G452" s="217"/>
      <c r="H452" s="709"/>
      <c r="I452" s="217"/>
      <c r="J452" s="709"/>
      <c r="K452" s="217"/>
      <c r="L452" s="217"/>
      <c r="M452" s="709"/>
      <c r="N452" s="217"/>
      <c r="O452" s="709"/>
      <c r="P452" s="217"/>
      <c r="Q452" s="217"/>
      <c r="R452" s="217"/>
      <c r="S452" s="218">
        <f>S46</f>
        <v>3.5</v>
      </c>
      <c r="T452" s="218">
        <f>T46</f>
        <v>1</v>
      </c>
      <c r="U452" s="218"/>
      <c r="V452" s="703"/>
      <c r="W452" s="218"/>
      <c r="X452" s="703"/>
      <c r="Y452" s="703"/>
      <c r="Z452" s="218"/>
      <c r="AA452" s="218"/>
      <c r="AB452" s="219">
        <f t="shared" ref="AB452:AW452" si="544">AB46</f>
        <v>36000</v>
      </c>
      <c r="AC452" s="219">
        <f t="shared" si="544"/>
        <v>0</v>
      </c>
      <c r="AD452" s="219">
        <f t="shared" si="544"/>
        <v>36000</v>
      </c>
      <c r="AE452" s="219">
        <f t="shared" si="544"/>
        <v>36000</v>
      </c>
      <c r="AF452" s="219">
        <f t="shared" si="544"/>
        <v>0</v>
      </c>
      <c r="AG452" s="219">
        <f t="shared" si="544"/>
        <v>36000</v>
      </c>
      <c r="AH452" s="219">
        <f t="shared" si="544"/>
        <v>11591</v>
      </c>
      <c r="AI452" s="219">
        <f t="shared" si="544"/>
        <v>24409</v>
      </c>
      <c r="AJ452" s="219">
        <f t="shared" si="544"/>
        <v>13674</v>
      </c>
      <c r="AK452" s="219">
        <f t="shared" si="544"/>
        <v>24409</v>
      </c>
      <c r="AL452" s="219">
        <f t="shared" si="544"/>
        <v>4920</v>
      </c>
      <c r="AM452" s="219">
        <f t="shared" si="544"/>
        <v>0</v>
      </c>
      <c r="AN452" s="219">
        <f t="shared" si="544"/>
        <v>-8754</v>
      </c>
      <c r="AO452" s="219">
        <f t="shared" si="544"/>
        <v>0</v>
      </c>
      <c r="AP452" s="219">
        <f t="shared" si="544"/>
        <v>0</v>
      </c>
      <c r="AQ452" s="219">
        <f t="shared" si="544"/>
        <v>10051</v>
      </c>
      <c r="AR452" s="219">
        <f t="shared" si="544"/>
        <v>0</v>
      </c>
      <c r="AS452" s="219">
        <f t="shared" si="544"/>
        <v>0</v>
      </c>
      <c r="AT452" s="219">
        <f t="shared" si="544"/>
        <v>21949</v>
      </c>
      <c r="AU452" s="219">
        <f t="shared" si="544"/>
        <v>4920</v>
      </c>
      <c r="AV452" s="219">
        <f t="shared" si="544"/>
        <v>0</v>
      </c>
      <c r="AW452" s="219">
        <f t="shared" si="544"/>
        <v>24409</v>
      </c>
      <c r="AX452" s="217"/>
    </row>
    <row r="453" spans="2:50" s="220" customFormat="1" ht="27.75" hidden="1" customHeight="1">
      <c r="B453" s="217"/>
      <c r="C453" s="112" t="str">
        <f>C47</f>
        <v>ГОСПОДАРСЬКИЙ ВІДДІЛ</v>
      </c>
      <c r="D453" s="217"/>
      <c r="E453" s="217"/>
      <c r="F453" s="217"/>
      <c r="G453" s="217"/>
      <c r="H453" s="709"/>
      <c r="I453" s="217"/>
      <c r="J453" s="709"/>
      <c r="K453" s="217"/>
      <c r="L453" s="217"/>
      <c r="M453" s="709"/>
      <c r="N453" s="217"/>
      <c r="O453" s="709"/>
      <c r="P453" s="217"/>
      <c r="Q453" s="217"/>
      <c r="R453" s="217"/>
      <c r="S453" s="221">
        <f>S94</f>
        <v>33</v>
      </c>
      <c r="T453" s="221">
        <f>T94</f>
        <v>2.5</v>
      </c>
      <c r="U453" s="221"/>
      <c r="V453" s="698"/>
      <c r="W453" s="221"/>
      <c r="X453" s="698"/>
      <c r="Y453" s="698"/>
      <c r="Z453" s="221"/>
      <c r="AA453" s="221"/>
      <c r="AB453" s="219">
        <f t="shared" ref="AB453:AW453" si="545">AB94</f>
        <v>285278</v>
      </c>
      <c r="AC453" s="219">
        <f t="shared" si="545"/>
        <v>0</v>
      </c>
      <c r="AD453" s="219">
        <f t="shared" si="545"/>
        <v>285278</v>
      </c>
      <c r="AE453" s="219">
        <f t="shared" si="545"/>
        <v>285278</v>
      </c>
      <c r="AF453" s="219">
        <f t="shared" si="545"/>
        <v>0</v>
      </c>
      <c r="AG453" s="219">
        <f t="shared" si="545"/>
        <v>284000</v>
      </c>
      <c r="AH453" s="219">
        <f t="shared" si="545"/>
        <v>143342.6</v>
      </c>
      <c r="AI453" s="219">
        <f t="shared" si="545"/>
        <v>121665.5</v>
      </c>
      <c r="AJ453" s="219">
        <f t="shared" si="545"/>
        <v>7971.5</v>
      </c>
      <c r="AK453" s="219">
        <f t="shared" si="545"/>
        <v>126247.1</v>
      </c>
      <c r="AL453" s="219">
        <f t="shared" si="545"/>
        <v>9131.2999999999993</v>
      </c>
      <c r="AM453" s="219">
        <f t="shared" si="545"/>
        <v>4581.6000000000004</v>
      </c>
      <c r="AN453" s="219">
        <f t="shared" si="545"/>
        <v>1159.8000000000002</v>
      </c>
      <c r="AO453" s="219">
        <f t="shared" si="545"/>
        <v>0</v>
      </c>
      <c r="AP453" s="219">
        <f t="shared" si="545"/>
        <v>0</v>
      </c>
      <c r="AQ453" s="219">
        <f t="shared" si="545"/>
        <v>133056.1</v>
      </c>
      <c r="AR453" s="219">
        <f t="shared" si="545"/>
        <v>1278</v>
      </c>
      <c r="AS453" s="219">
        <f t="shared" si="545"/>
        <v>0</v>
      </c>
      <c r="AT453" s="219">
        <f t="shared" si="545"/>
        <v>126247.1</v>
      </c>
      <c r="AU453" s="219">
        <f t="shared" si="545"/>
        <v>9131.2999999999993</v>
      </c>
      <c r="AV453" s="219">
        <f t="shared" si="545"/>
        <v>0</v>
      </c>
      <c r="AW453" s="219">
        <f t="shared" si="545"/>
        <v>136887.4</v>
      </c>
      <c r="AX453" s="217"/>
    </row>
    <row r="454" spans="2:50" s="220" customFormat="1" ht="61.5" hidden="1" customHeight="1">
      <c r="B454" s="217"/>
      <c r="C454" s="112" t="str">
        <f>C95</f>
        <v>ПОЛІКЛІНІКА</v>
      </c>
      <c r="D454" s="217"/>
      <c r="E454" s="217"/>
      <c r="F454" s="217"/>
      <c r="G454" s="217"/>
      <c r="H454" s="709"/>
      <c r="I454" s="217"/>
      <c r="J454" s="709"/>
      <c r="K454" s="217"/>
      <c r="L454" s="217"/>
      <c r="M454" s="709"/>
      <c r="N454" s="217"/>
      <c r="O454" s="709"/>
      <c r="P454" s="217"/>
      <c r="Q454" s="217"/>
      <c r="R454" s="217"/>
      <c r="S454" s="218">
        <f>S137</f>
        <v>26</v>
      </c>
      <c r="T454" s="218">
        <f>T137</f>
        <v>2.75</v>
      </c>
      <c r="U454" s="218"/>
      <c r="V454" s="703"/>
      <c r="W454" s="218"/>
      <c r="X454" s="703"/>
      <c r="Y454" s="703"/>
      <c r="Z454" s="218"/>
      <c r="AA454" s="218"/>
      <c r="AB454" s="219">
        <f t="shared" ref="AB454:AW454" si="546">AB137</f>
        <v>247536.3725</v>
      </c>
      <c r="AC454" s="219">
        <f t="shared" si="546"/>
        <v>242963.6275</v>
      </c>
      <c r="AD454" s="219">
        <f t="shared" si="546"/>
        <v>490500</v>
      </c>
      <c r="AE454" s="219">
        <f t="shared" si="546"/>
        <v>490500</v>
      </c>
      <c r="AF454" s="219">
        <f t="shared" si="546"/>
        <v>242963.6275</v>
      </c>
      <c r="AG454" s="219">
        <f t="shared" si="546"/>
        <v>230000</v>
      </c>
      <c r="AH454" s="219">
        <f t="shared" si="546"/>
        <v>9780.4274999999961</v>
      </c>
      <c r="AI454" s="219">
        <f t="shared" si="546"/>
        <v>153390.5</v>
      </c>
      <c r="AJ454" s="219">
        <f t="shared" si="546"/>
        <v>14880.25</v>
      </c>
      <c r="AK454" s="219">
        <f t="shared" si="546"/>
        <v>154869.13750000001</v>
      </c>
      <c r="AL454" s="219">
        <f t="shared" si="546"/>
        <v>16332.324999999999</v>
      </c>
      <c r="AM454" s="219">
        <f t="shared" si="546"/>
        <v>4429.0125000000007</v>
      </c>
      <c r="AN454" s="219">
        <f t="shared" si="546"/>
        <v>1015.9499999999996</v>
      </c>
      <c r="AO454" s="219">
        <f t="shared" si="546"/>
        <v>36751.088750000003</v>
      </c>
      <c r="AP454" s="219">
        <f t="shared" si="546"/>
        <v>3312.4387499999998</v>
      </c>
      <c r="AQ454" s="219">
        <f t="shared" si="546"/>
        <v>19789.287499999999</v>
      </c>
      <c r="AR454" s="219">
        <f t="shared" si="546"/>
        <v>0</v>
      </c>
      <c r="AS454" s="219">
        <f t="shared" si="546"/>
        <v>0</v>
      </c>
      <c r="AT454" s="219">
        <f t="shared" si="546"/>
        <v>151525.51250000001</v>
      </c>
      <c r="AU454" s="219">
        <f t="shared" si="546"/>
        <v>12988.7</v>
      </c>
      <c r="AV454" s="219">
        <f t="shared" si="546"/>
        <v>0</v>
      </c>
      <c r="AW454" s="219">
        <f t="shared" si="546"/>
        <v>180948.625</v>
      </c>
      <c r="AX454" s="217"/>
    </row>
    <row r="455" spans="2:50" s="220" customFormat="1" ht="61.5" hidden="1" customHeight="1">
      <c r="B455" s="217"/>
      <c r="C455" s="112" t="str">
        <f>C139</f>
        <v>УРОЛОГІЧНЕ ВІДДІЛЕННЯ (з операційною)</v>
      </c>
      <c r="D455" s="217"/>
      <c r="E455" s="217"/>
      <c r="F455" s="217"/>
      <c r="G455" s="217"/>
      <c r="H455" s="709"/>
      <c r="I455" s="217"/>
      <c r="J455" s="709"/>
      <c r="K455" s="217"/>
      <c r="L455" s="217"/>
      <c r="M455" s="709"/>
      <c r="N455" s="217"/>
      <c r="O455" s="709"/>
      <c r="P455" s="217"/>
      <c r="Q455" s="217"/>
      <c r="R455" s="217"/>
      <c r="S455" s="218">
        <f>S171</f>
        <v>13.5</v>
      </c>
      <c r="T455" s="218">
        <f>T171</f>
        <v>1.5</v>
      </c>
      <c r="U455" s="218"/>
      <c r="V455" s="703"/>
      <c r="W455" s="218"/>
      <c r="X455" s="703"/>
      <c r="Y455" s="703"/>
      <c r="Z455" s="218"/>
      <c r="AA455" s="218"/>
      <c r="AB455" s="219">
        <f t="shared" ref="AB455:AW455" si="547">AB171</f>
        <v>129290.636</v>
      </c>
      <c r="AC455" s="219">
        <f t="shared" si="547"/>
        <v>67094.364000000001</v>
      </c>
      <c r="AD455" s="219">
        <f t="shared" si="547"/>
        <v>196385</v>
      </c>
      <c r="AE455" s="219">
        <f t="shared" si="547"/>
        <v>196385</v>
      </c>
      <c r="AF455" s="219">
        <f t="shared" si="547"/>
        <v>67094.364000000001</v>
      </c>
      <c r="AG455" s="219">
        <f t="shared" si="547"/>
        <v>120000</v>
      </c>
      <c r="AH455" s="219">
        <f t="shared" si="547"/>
        <v>22434.964</v>
      </c>
      <c r="AI455" s="219">
        <f t="shared" si="547"/>
        <v>67052.5</v>
      </c>
      <c r="AJ455" s="219">
        <f t="shared" si="547"/>
        <v>11598</v>
      </c>
      <c r="AK455" s="219">
        <f t="shared" si="547"/>
        <v>68549.299999999988</v>
      </c>
      <c r="AL455" s="219">
        <f t="shared" si="547"/>
        <v>15773.28</v>
      </c>
      <c r="AM455" s="219">
        <f t="shared" si="547"/>
        <v>1496.8000000000002</v>
      </c>
      <c r="AN455" s="219">
        <f t="shared" si="547"/>
        <v>4175.2800000000007</v>
      </c>
      <c r="AO455" s="219">
        <f t="shared" si="547"/>
        <v>9701.2000000000007</v>
      </c>
      <c r="AP455" s="219">
        <f t="shared" si="547"/>
        <v>3541.2560000000003</v>
      </c>
      <c r="AQ455" s="219">
        <f t="shared" si="547"/>
        <v>29840.6</v>
      </c>
      <c r="AR455" s="219">
        <f t="shared" si="547"/>
        <v>1885</v>
      </c>
      <c r="AS455" s="219">
        <f t="shared" si="547"/>
        <v>0</v>
      </c>
      <c r="AT455" s="219">
        <f t="shared" si="547"/>
        <v>68549.299999999988</v>
      </c>
      <c r="AU455" s="219">
        <f t="shared" si="547"/>
        <v>15773.28</v>
      </c>
      <c r="AV455" s="219">
        <f t="shared" si="547"/>
        <v>0</v>
      </c>
      <c r="AW455" s="219">
        <f t="shared" si="547"/>
        <v>84322.579999999987</v>
      </c>
      <c r="AX455" s="217"/>
    </row>
    <row r="456" spans="2:50" s="220" customFormat="1" ht="50.1" hidden="1" customHeight="1">
      <c r="B456" s="217"/>
      <c r="C456" s="112" t="str">
        <f>C172</f>
        <v>ІНФЕКЦІЙНЕ ВІДДІЛЕННЯ</v>
      </c>
      <c r="D456" s="217"/>
      <c r="E456" s="217"/>
      <c r="F456" s="217"/>
      <c r="G456" s="217"/>
      <c r="H456" s="709"/>
      <c r="I456" s="217"/>
      <c r="J456" s="709"/>
      <c r="K456" s="217"/>
      <c r="L456" s="217"/>
      <c r="M456" s="709"/>
      <c r="N456" s="217"/>
      <c r="O456" s="709"/>
      <c r="P456" s="217"/>
      <c r="Q456" s="217"/>
      <c r="R456" s="217"/>
      <c r="S456" s="218">
        <f>S191</f>
        <v>11.75</v>
      </c>
      <c r="T456" s="218">
        <f>T191</f>
        <v>0</v>
      </c>
      <c r="U456" s="218"/>
      <c r="V456" s="703"/>
      <c r="W456" s="218"/>
      <c r="X456" s="703"/>
      <c r="Y456" s="703"/>
      <c r="Z456" s="218"/>
      <c r="AA456" s="218"/>
      <c r="AB456" s="219">
        <f t="shared" ref="AB456:AW456" si="548">AB191</f>
        <v>99614.501250000001</v>
      </c>
      <c r="AC456" s="219">
        <f t="shared" si="548"/>
        <v>38553.248749999999</v>
      </c>
      <c r="AD456" s="219">
        <f t="shared" si="548"/>
        <v>138167.75</v>
      </c>
      <c r="AE456" s="219">
        <f t="shared" si="548"/>
        <v>138167.75</v>
      </c>
      <c r="AF456" s="219">
        <f t="shared" si="548"/>
        <v>38553.248749999999</v>
      </c>
      <c r="AG456" s="219">
        <f t="shared" si="548"/>
        <v>94000</v>
      </c>
      <c r="AH456" s="219">
        <f t="shared" si="548"/>
        <v>17521.262500000001</v>
      </c>
      <c r="AI456" s="219">
        <f t="shared" si="548"/>
        <v>57164.75</v>
      </c>
      <c r="AJ456" s="219">
        <f t="shared" si="548"/>
        <v>0</v>
      </c>
      <c r="AK456" s="219">
        <f t="shared" si="548"/>
        <v>65739.462499999994</v>
      </c>
      <c r="AL456" s="219">
        <f t="shared" si="548"/>
        <v>0</v>
      </c>
      <c r="AM456" s="219">
        <f t="shared" si="548"/>
        <v>8574.7125000000015</v>
      </c>
      <c r="AN456" s="219">
        <f t="shared" si="548"/>
        <v>0</v>
      </c>
      <c r="AO456" s="219">
        <f t="shared" si="548"/>
        <v>12615.988750000002</v>
      </c>
      <c r="AP456" s="219">
        <f t="shared" si="548"/>
        <v>0</v>
      </c>
      <c r="AQ456" s="219">
        <f t="shared" si="548"/>
        <v>19091.3</v>
      </c>
      <c r="AR456" s="219">
        <f t="shared" si="548"/>
        <v>2167.75</v>
      </c>
      <c r="AS456" s="219">
        <f t="shared" si="548"/>
        <v>0</v>
      </c>
      <c r="AT456" s="219">
        <f t="shared" si="548"/>
        <v>65739.462499999994</v>
      </c>
      <c r="AU456" s="219">
        <f t="shared" si="548"/>
        <v>0</v>
      </c>
      <c r="AV456" s="219">
        <f t="shared" si="548"/>
        <v>0</v>
      </c>
      <c r="AW456" s="219">
        <f t="shared" si="548"/>
        <v>65739.462499999994</v>
      </c>
      <c r="AX456" s="217"/>
    </row>
    <row r="457" spans="2:50" s="220" customFormat="1" ht="50.1" hidden="1" customHeight="1">
      <c r="B457" s="217"/>
      <c r="C457" s="112" t="str">
        <f>C192</f>
        <v xml:space="preserve">НЕВРОЛОГІЧНЕ ВІДДІЛЕННЯ </v>
      </c>
      <c r="D457" s="217"/>
      <c r="E457" s="217"/>
      <c r="F457" s="217"/>
      <c r="G457" s="217"/>
      <c r="H457" s="709"/>
      <c r="I457" s="217"/>
      <c r="J457" s="709"/>
      <c r="K457" s="217"/>
      <c r="L457" s="217"/>
      <c r="M457" s="709"/>
      <c r="N457" s="217"/>
      <c r="O457" s="709"/>
      <c r="P457" s="217"/>
      <c r="Q457" s="217"/>
      <c r="R457" s="217"/>
      <c r="S457" s="218">
        <f>S215</f>
        <v>15</v>
      </c>
      <c r="T457" s="218">
        <f>T215</f>
        <v>0</v>
      </c>
      <c r="U457" s="218"/>
      <c r="V457" s="703"/>
      <c r="W457" s="218"/>
      <c r="X457" s="703"/>
      <c r="Y457" s="703"/>
      <c r="Z457" s="218"/>
      <c r="AA457" s="218"/>
      <c r="AB457" s="219">
        <f t="shared" ref="AB457:AW457" si="549">AB215</f>
        <v>125685.69</v>
      </c>
      <c r="AC457" s="219">
        <f t="shared" si="549"/>
        <v>64199.31</v>
      </c>
      <c r="AD457" s="219">
        <f t="shared" si="549"/>
        <v>189885</v>
      </c>
      <c r="AE457" s="219">
        <f t="shared" si="549"/>
        <v>189885</v>
      </c>
      <c r="AF457" s="219">
        <f t="shared" si="549"/>
        <v>64199.31</v>
      </c>
      <c r="AG457" s="219">
        <f t="shared" si="549"/>
        <v>120000</v>
      </c>
      <c r="AH457" s="219">
        <f t="shared" si="549"/>
        <v>26545.51</v>
      </c>
      <c r="AI457" s="219">
        <f t="shared" si="549"/>
        <v>71184</v>
      </c>
      <c r="AJ457" s="219">
        <f t="shared" si="549"/>
        <v>0</v>
      </c>
      <c r="AK457" s="219">
        <f t="shared" si="549"/>
        <v>72433.3</v>
      </c>
      <c r="AL457" s="219">
        <f t="shared" si="549"/>
        <v>0</v>
      </c>
      <c r="AM457" s="219">
        <f t="shared" si="549"/>
        <v>1249.3000000000002</v>
      </c>
      <c r="AN457" s="219">
        <f t="shared" si="549"/>
        <v>0</v>
      </c>
      <c r="AO457" s="219">
        <f t="shared" si="549"/>
        <v>14998.29</v>
      </c>
      <c r="AP457" s="219">
        <f t="shared" si="549"/>
        <v>0</v>
      </c>
      <c r="AQ457" s="219">
        <f t="shared" si="549"/>
        <v>28369.1</v>
      </c>
      <c r="AR457" s="219">
        <f t="shared" si="549"/>
        <v>1885</v>
      </c>
      <c r="AS457" s="219">
        <f t="shared" si="549"/>
        <v>0</v>
      </c>
      <c r="AT457" s="219">
        <f t="shared" si="549"/>
        <v>72433.3</v>
      </c>
      <c r="AU457" s="219">
        <f t="shared" si="549"/>
        <v>0</v>
      </c>
      <c r="AV457" s="219">
        <f t="shared" si="549"/>
        <v>0</v>
      </c>
      <c r="AW457" s="219">
        <f t="shared" si="549"/>
        <v>77066.3</v>
      </c>
      <c r="AX457" s="217"/>
    </row>
    <row r="458" spans="2:50" s="220" customFormat="1" ht="50.1" hidden="1" customHeight="1">
      <c r="B458" s="217"/>
      <c r="C458" s="112" t="str">
        <f>C216</f>
        <v xml:space="preserve">ТЕРАПЕВТИЧНЕ ВІДДІЛЕННЯ </v>
      </c>
      <c r="D458" s="217"/>
      <c r="E458" s="217"/>
      <c r="F458" s="217"/>
      <c r="G458" s="217"/>
      <c r="H458" s="709"/>
      <c r="I458" s="217"/>
      <c r="J458" s="709"/>
      <c r="K458" s="217"/>
      <c r="L458" s="217"/>
      <c r="M458" s="709"/>
      <c r="N458" s="217"/>
      <c r="O458" s="709"/>
      <c r="P458" s="217"/>
      <c r="Q458" s="217"/>
      <c r="R458" s="217"/>
      <c r="S458" s="218">
        <f>S240</f>
        <v>15.5</v>
      </c>
      <c r="T458" s="218">
        <f>T240</f>
        <v>0.5</v>
      </c>
      <c r="U458" s="218"/>
      <c r="V458" s="703"/>
      <c r="W458" s="218"/>
      <c r="X458" s="703"/>
      <c r="Y458" s="703"/>
      <c r="Z458" s="218"/>
      <c r="AA458" s="218"/>
      <c r="AB458" s="219">
        <f t="shared" ref="AB458:AW458" si="550">AB240</f>
        <v>133036.24</v>
      </c>
      <c r="AC458" s="219">
        <f t="shared" si="550"/>
        <v>65225.759999999995</v>
      </c>
      <c r="AD458" s="219">
        <f t="shared" si="550"/>
        <v>198262</v>
      </c>
      <c r="AE458" s="219">
        <f t="shared" si="550"/>
        <v>198262</v>
      </c>
      <c r="AF458" s="219">
        <f t="shared" si="550"/>
        <v>65225.759999999995</v>
      </c>
      <c r="AG458" s="219">
        <f t="shared" si="550"/>
        <v>128000</v>
      </c>
      <c r="AH458" s="219">
        <f t="shared" si="550"/>
        <v>30051.649999999998</v>
      </c>
      <c r="AI458" s="219">
        <f t="shared" si="550"/>
        <v>64792</v>
      </c>
      <c r="AJ458" s="219">
        <f t="shared" si="550"/>
        <v>3386.5</v>
      </c>
      <c r="AK458" s="219">
        <f t="shared" si="550"/>
        <v>66070</v>
      </c>
      <c r="AL458" s="219">
        <f t="shared" si="550"/>
        <v>3386.5</v>
      </c>
      <c r="AM458" s="219">
        <f t="shared" si="550"/>
        <v>1278</v>
      </c>
      <c r="AN458" s="219">
        <f t="shared" si="550"/>
        <v>0</v>
      </c>
      <c r="AO458" s="219">
        <f t="shared" si="550"/>
        <v>13613.300000000001</v>
      </c>
      <c r="AP458" s="219">
        <f t="shared" si="550"/>
        <v>1015.9499999999999</v>
      </c>
      <c r="AQ458" s="219">
        <f t="shared" si="550"/>
        <v>26688.489999999998</v>
      </c>
      <c r="AR458" s="219">
        <f t="shared" si="550"/>
        <v>1885</v>
      </c>
      <c r="AS458" s="219">
        <f t="shared" si="550"/>
        <v>0</v>
      </c>
      <c r="AT458" s="219">
        <f t="shared" si="550"/>
        <v>66070</v>
      </c>
      <c r="AU458" s="219">
        <f t="shared" si="550"/>
        <v>3386.5</v>
      </c>
      <c r="AV458" s="219">
        <f t="shared" si="550"/>
        <v>0</v>
      </c>
      <c r="AW458" s="219">
        <f t="shared" si="550"/>
        <v>81661</v>
      </c>
      <c r="AX458" s="217"/>
    </row>
    <row r="459" spans="2:50" s="220" customFormat="1" ht="50.1" hidden="1" customHeight="1">
      <c r="B459" s="217"/>
      <c r="C459" s="112" t="str">
        <f>C241</f>
        <v xml:space="preserve">ПЕДІАТРИЧНЕ ВІДДІЛЕННЯ  </v>
      </c>
      <c r="D459" s="217"/>
      <c r="E459" s="217"/>
      <c r="F459" s="217"/>
      <c r="G459" s="217"/>
      <c r="H459" s="709"/>
      <c r="I459" s="217"/>
      <c r="J459" s="709"/>
      <c r="K459" s="217"/>
      <c r="L459" s="217"/>
      <c r="M459" s="709"/>
      <c r="N459" s="217"/>
      <c r="O459" s="709"/>
      <c r="P459" s="217"/>
      <c r="Q459" s="217"/>
      <c r="R459" s="217"/>
      <c r="S459" s="218">
        <f>S259</f>
        <v>8.5</v>
      </c>
      <c r="T459" s="218">
        <f>T259</f>
        <v>0.5</v>
      </c>
      <c r="U459" s="218"/>
      <c r="V459" s="703"/>
      <c r="W459" s="218"/>
      <c r="X459" s="703"/>
      <c r="Y459" s="703"/>
      <c r="Z459" s="218"/>
      <c r="AA459" s="218"/>
      <c r="AB459" s="219">
        <f t="shared" ref="AB459:AW459" si="551">AB259</f>
        <v>73105.8</v>
      </c>
      <c r="AC459" s="219">
        <f t="shared" si="551"/>
        <v>44648.2</v>
      </c>
      <c r="AD459" s="219">
        <f t="shared" si="551"/>
        <v>117754</v>
      </c>
      <c r="AE459" s="219">
        <f t="shared" si="551"/>
        <v>117754</v>
      </c>
      <c r="AF459" s="219">
        <f t="shared" si="551"/>
        <v>44648.2</v>
      </c>
      <c r="AG459" s="219">
        <f t="shared" si="551"/>
        <v>72000</v>
      </c>
      <c r="AH459" s="219">
        <f t="shared" si="551"/>
        <v>13813.259999999998</v>
      </c>
      <c r="AI459" s="219">
        <f t="shared" si="551"/>
        <v>40702</v>
      </c>
      <c r="AJ459" s="219">
        <f t="shared" si="551"/>
        <v>3626.5</v>
      </c>
      <c r="AK459" s="219">
        <f t="shared" si="551"/>
        <v>41254.699999999997</v>
      </c>
      <c r="AL459" s="219">
        <f t="shared" si="551"/>
        <v>3626.5</v>
      </c>
      <c r="AM459" s="219">
        <f t="shared" si="551"/>
        <v>552.69999999999982</v>
      </c>
      <c r="AN459" s="219">
        <f t="shared" si="551"/>
        <v>0</v>
      </c>
      <c r="AO459" s="219">
        <f t="shared" si="551"/>
        <v>8953.74</v>
      </c>
      <c r="AP459" s="219">
        <f t="shared" si="551"/>
        <v>725.30000000000007</v>
      </c>
      <c r="AQ459" s="219">
        <f t="shared" si="551"/>
        <v>13791.56</v>
      </c>
      <c r="AR459" s="219">
        <f t="shared" si="551"/>
        <v>754</v>
      </c>
      <c r="AS459" s="219">
        <f t="shared" si="551"/>
        <v>0</v>
      </c>
      <c r="AT459" s="219">
        <f t="shared" si="551"/>
        <v>41254.699999999997</v>
      </c>
      <c r="AU459" s="219">
        <f t="shared" si="551"/>
        <v>3626.5</v>
      </c>
      <c r="AV459" s="219">
        <f t="shared" si="551"/>
        <v>0</v>
      </c>
      <c r="AW459" s="219">
        <f t="shared" si="551"/>
        <v>48507.7</v>
      </c>
      <c r="AX459" s="217"/>
    </row>
    <row r="460" spans="2:50" s="220" customFormat="1" ht="50.1" hidden="1" customHeight="1">
      <c r="B460" s="217"/>
      <c r="C460" s="112" t="str">
        <f>C260</f>
        <v>ХІРУРГІЧНЕ ВІДДІЛЕННЯ З ОПЕРАЦІЙНИМ БЛОКОМ</v>
      </c>
      <c r="D460" s="217"/>
      <c r="E460" s="217"/>
      <c r="F460" s="217"/>
      <c r="G460" s="217"/>
      <c r="H460" s="709"/>
      <c r="I460" s="217"/>
      <c r="J460" s="709"/>
      <c r="K460" s="217"/>
      <c r="L460" s="217"/>
      <c r="M460" s="709"/>
      <c r="N460" s="217"/>
      <c r="O460" s="709"/>
      <c r="P460" s="217"/>
      <c r="Q460" s="217"/>
      <c r="R460" s="217"/>
      <c r="S460" s="218">
        <f>S307</f>
        <v>28.25</v>
      </c>
      <c r="T460" s="218">
        <f>T307</f>
        <v>1.25</v>
      </c>
      <c r="U460" s="218"/>
      <c r="V460" s="703"/>
      <c r="W460" s="218"/>
      <c r="X460" s="703"/>
      <c r="Y460" s="703"/>
      <c r="Z460" s="218"/>
      <c r="AA460" s="218"/>
      <c r="AB460" s="219">
        <f t="shared" ref="AB460:AW460" si="552">AB307</f>
        <v>249615.03999999998</v>
      </c>
      <c r="AC460" s="219">
        <f t="shared" si="552"/>
        <v>146270.16</v>
      </c>
      <c r="AD460" s="219">
        <f t="shared" si="552"/>
        <v>395885.2</v>
      </c>
      <c r="AE460" s="219">
        <f t="shared" si="552"/>
        <v>395885.2</v>
      </c>
      <c r="AF460" s="219">
        <f t="shared" si="552"/>
        <v>146270.16</v>
      </c>
      <c r="AG460" s="219">
        <f t="shared" si="552"/>
        <v>236000</v>
      </c>
      <c r="AH460" s="219">
        <f t="shared" si="552"/>
        <v>45930.55</v>
      </c>
      <c r="AI460" s="219">
        <f t="shared" si="552"/>
        <v>136529.5</v>
      </c>
      <c r="AJ460" s="219">
        <f t="shared" si="552"/>
        <v>31686.25</v>
      </c>
      <c r="AK460" s="219">
        <f t="shared" si="552"/>
        <v>146242.94999999998</v>
      </c>
      <c r="AL460" s="219">
        <f t="shared" si="552"/>
        <v>31686.25</v>
      </c>
      <c r="AM460" s="219">
        <f t="shared" si="552"/>
        <v>9713.4500000000007</v>
      </c>
      <c r="AN460" s="219">
        <f t="shared" si="552"/>
        <v>0</v>
      </c>
      <c r="AO460" s="219">
        <f t="shared" si="552"/>
        <v>22850.025000000001</v>
      </c>
      <c r="AP460" s="219">
        <f t="shared" si="552"/>
        <v>2357.2250000000004</v>
      </c>
      <c r="AQ460" s="219">
        <f t="shared" si="552"/>
        <v>49213.39</v>
      </c>
      <c r="AR460" s="219">
        <f t="shared" si="552"/>
        <v>3885.2</v>
      </c>
      <c r="AS460" s="219">
        <f t="shared" si="552"/>
        <v>2262</v>
      </c>
      <c r="AT460" s="219">
        <f t="shared" si="552"/>
        <v>146242.94999999998</v>
      </c>
      <c r="AU460" s="219">
        <f t="shared" si="552"/>
        <v>31686.25</v>
      </c>
      <c r="AV460" s="219">
        <f t="shared" si="552"/>
        <v>0</v>
      </c>
      <c r="AW460" s="219">
        <f t="shared" si="552"/>
        <v>164862.19999999998</v>
      </c>
      <c r="AX460" s="217"/>
    </row>
    <row r="461" spans="2:50" s="220" customFormat="1" ht="50.1" hidden="1" customHeight="1">
      <c r="B461" s="217"/>
      <c r="C461" s="112" t="str">
        <f>C308</f>
        <v xml:space="preserve">ВІДДІЛЕННЯ АНЕСТЕЗІОЛОГІЇ ТА ІНТЕНСИВНОЇ ТЕРАПІЇ </v>
      </c>
      <c r="D461" s="217"/>
      <c r="E461" s="217"/>
      <c r="F461" s="217"/>
      <c r="G461" s="217"/>
      <c r="H461" s="709"/>
      <c r="I461" s="217"/>
      <c r="J461" s="709"/>
      <c r="K461" s="217"/>
      <c r="L461" s="217"/>
      <c r="M461" s="709"/>
      <c r="N461" s="217"/>
      <c r="O461" s="709"/>
      <c r="P461" s="217"/>
      <c r="Q461" s="217"/>
      <c r="R461" s="217"/>
      <c r="S461" s="218">
        <f>S341</f>
        <v>20.25</v>
      </c>
      <c r="T461" s="218">
        <f>T341</f>
        <v>2.25</v>
      </c>
      <c r="U461" s="218"/>
      <c r="V461" s="703"/>
      <c r="W461" s="218"/>
      <c r="X461" s="703"/>
      <c r="Y461" s="703"/>
      <c r="Z461" s="218"/>
      <c r="AA461" s="218"/>
      <c r="AB461" s="219">
        <f t="shared" ref="AB461:AW461" si="553">AB341</f>
        <v>199268.94125</v>
      </c>
      <c r="AC461" s="219">
        <f t="shared" si="553"/>
        <v>128064.40875000002</v>
      </c>
      <c r="AD461" s="219">
        <f t="shared" si="553"/>
        <v>327333.34999999998</v>
      </c>
      <c r="AE461" s="219">
        <f t="shared" si="553"/>
        <v>327333.34999999998</v>
      </c>
      <c r="AF461" s="219">
        <f t="shared" si="553"/>
        <v>128064.40875000002</v>
      </c>
      <c r="AG461" s="219">
        <f t="shared" si="553"/>
        <v>180000</v>
      </c>
      <c r="AH461" s="219">
        <f t="shared" si="553"/>
        <v>2103.6487500000076</v>
      </c>
      <c r="AI461" s="219">
        <f t="shared" si="553"/>
        <v>102697</v>
      </c>
      <c r="AJ461" s="219">
        <f t="shared" si="553"/>
        <v>14449</v>
      </c>
      <c r="AK461" s="219">
        <f t="shared" si="553"/>
        <v>120316.67499999999</v>
      </c>
      <c r="AL461" s="219">
        <f t="shared" si="553"/>
        <v>16616.349999999999</v>
      </c>
      <c r="AM461" s="219">
        <f t="shared" si="553"/>
        <v>17619.674999999999</v>
      </c>
      <c r="AN461" s="219">
        <f t="shared" si="553"/>
        <v>2167.3499999999995</v>
      </c>
      <c r="AO461" s="219">
        <f t="shared" si="553"/>
        <v>24490.323749999996</v>
      </c>
      <c r="AP461" s="219">
        <f t="shared" si="553"/>
        <v>4539.4237499999999</v>
      </c>
      <c r="AQ461" s="219">
        <f t="shared" si="553"/>
        <v>17667.824999999997</v>
      </c>
      <c r="AR461" s="219">
        <f t="shared" si="553"/>
        <v>2333.35</v>
      </c>
      <c r="AS461" s="219">
        <f t="shared" si="553"/>
        <v>0</v>
      </c>
      <c r="AT461" s="219">
        <f t="shared" si="553"/>
        <v>120316.67499999999</v>
      </c>
      <c r="AU461" s="219">
        <f t="shared" si="553"/>
        <v>16616.349999999999</v>
      </c>
      <c r="AV461" s="219">
        <f t="shared" si="553"/>
        <v>0</v>
      </c>
      <c r="AW461" s="219">
        <f t="shared" si="553"/>
        <v>150233.34999999998</v>
      </c>
      <c r="AX461" s="217"/>
    </row>
    <row r="462" spans="2:50" s="220" customFormat="1" ht="50.1" hidden="1" customHeight="1">
      <c r="B462" s="217"/>
      <c r="C462" s="112" t="str">
        <f>C343</f>
        <v>ПРИЙМАЛЬНЕ ВІДДІЛЕННЯ</v>
      </c>
      <c r="D462" s="217"/>
      <c r="E462" s="217"/>
      <c r="F462" s="217"/>
      <c r="G462" s="217"/>
      <c r="H462" s="709"/>
      <c r="I462" s="217"/>
      <c r="J462" s="709"/>
      <c r="K462" s="217"/>
      <c r="L462" s="217"/>
      <c r="M462" s="709"/>
      <c r="N462" s="217"/>
      <c r="O462" s="709"/>
      <c r="P462" s="217"/>
      <c r="Q462" s="217"/>
      <c r="R462" s="217"/>
      <c r="S462" s="218">
        <f>S364</f>
        <v>12</v>
      </c>
      <c r="T462" s="218">
        <f t="shared" ref="T462:AV462" si="554">T364</f>
        <v>0</v>
      </c>
      <c r="U462" s="218"/>
      <c r="V462" s="703"/>
      <c r="W462" s="218"/>
      <c r="X462" s="703"/>
      <c r="Y462" s="703"/>
      <c r="Z462" s="218"/>
      <c r="AA462" s="218"/>
      <c r="AB462" s="219">
        <f t="shared" si="554"/>
        <v>97885</v>
      </c>
      <c r="AC462" s="219">
        <f t="shared" si="554"/>
        <v>45000</v>
      </c>
      <c r="AD462" s="219">
        <f t="shared" si="554"/>
        <v>142885</v>
      </c>
      <c r="AE462" s="219">
        <f t="shared" si="554"/>
        <v>142885</v>
      </c>
      <c r="AF462" s="219">
        <f t="shared" si="554"/>
        <v>45000</v>
      </c>
      <c r="AG462" s="219">
        <f t="shared" si="554"/>
        <v>96000</v>
      </c>
      <c r="AH462" s="219">
        <f t="shared" si="554"/>
        <v>30756.89</v>
      </c>
      <c r="AI462" s="219">
        <f t="shared" si="554"/>
        <v>56039</v>
      </c>
      <c r="AJ462" s="219">
        <f t="shared" si="554"/>
        <v>0</v>
      </c>
      <c r="AK462" s="219">
        <f t="shared" si="554"/>
        <v>56591.7</v>
      </c>
      <c r="AL462" s="219">
        <f t="shared" si="554"/>
        <v>0</v>
      </c>
      <c r="AM462" s="219">
        <f t="shared" si="554"/>
        <v>552.69999999999982</v>
      </c>
      <c r="AN462" s="219">
        <f t="shared" si="554"/>
        <v>0</v>
      </c>
      <c r="AO462" s="219">
        <f t="shared" si="554"/>
        <v>8651.41</v>
      </c>
      <c r="AP462" s="219">
        <f t="shared" si="554"/>
        <v>0</v>
      </c>
      <c r="AQ462" s="219">
        <f t="shared" si="554"/>
        <v>30756.89</v>
      </c>
      <c r="AR462" s="219">
        <f t="shared" si="554"/>
        <v>1885</v>
      </c>
      <c r="AS462" s="219">
        <f t="shared" si="554"/>
        <v>0</v>
      </c>
      <c r="AT462" s="219">
        <f t="shared" si="554"/>
        <v>56591.7</v>
      </c>
      <c r="AU462" s="219">
        <f t="shared" si="554"/>
        <v>0</v>
      </c>
      <c r="AV462" s="219">
        <f t="shared" si="554"/>
        <v>0</v>
      </c>
      <c r="AW462" s="219">
        <f>AW364</f>
        <v>56591.7</v>
      </c>
      <c r="AX462" s="217"/>
    </row>
    <row r="463" spans="2:50" s="220" customFormat="1" ht="50.1" hidden="1" customHeight="1">
      <c r="B463" s="217"/>
      <c r="C463" s="112" t="str">
        <f>C365</f>
        <v>ЦЕНТРАЛІЗОВАНА СТЕРИЛІЗАЦІЙНА</v>
      </c>
      <c r="D463" s="217"/>
      <c r="E463" s="217"/>
      <c r="F463" s="217"/>
      <c r="G463" s="217"/>
      <c r="H463" s="709"/>
      <c r="I463" s="217"/>
      <c r="J463" s="709"/>
      <c r="K463" s="217"/>
      <c r="L463" s="217"/>
      <c r="M463" s="709"/>
      <c r="N463" s="217"/>
      <c r="O463" s="709"/>
      <c r="P463" s="217"/>
      <c r="Q463" s="217"/>
      <c r="R463" s="217"/>
      <c r="S463" s="218">
        <f>S368</f>
        <v>1</v>
      </c>
      <c r="T463" s="218">
        <f t="shared" ref="T463:AW463" si="555">T368</f>
        <v>0</v>
      </c>
      <c r="U463" s="218"/>
      <c r="V463" s="703"/>
      <c r="W463" s="218"/>
      <c r="X463" s="703"/>
      <c r="Y463" s="703"/>
      <c r="Z463" s="218"/>
      <c r="AA463" s="218"/>
      <c r="AB463" s="219">
        <f t="shared" si="555"/>
        <v>8000</v>
      </c>
      <c r="AC463" s="219">
        <f t="shared" si="555"/>
        <v>5500</v>
      </c>
      <c r="AD463" s="219">
        <f t="shared" si="555"/>
        <v>13500</v>
      </c>
      <c r="AE463" s="219">
        <f t="shared" si="555"/>
        <v>13500</v>
      </c>
      <c r="AF463" s="219">
        <f t="shared" si="555"/>
        <v>5500</v>
      </c>
      <c r="AG463" s="219">
        <f t="shared" si="555"/>
        <v>8000</v>
      </c>
      <c r="AH463" s="219">
        <f t="shared" si="555"/>
        <v>814.89999999999964</v>
      </c>
      <c r="AI463" s="219">
        <f t="shared" si="555"/>
        <v>5527</v>
      </c>
      <c r="AJ463" s="219">
        <f t="shared" si="555"/>
        <v>0</v>
      </c>
      <c r="AK463" s="219">
        <f t="shared" si="555"/>
        <v>5527</v>
      </c>
      <c r="AL463" s="219">
        <f t="shared" si="555"/>
        <v>0</v>
      </c>
      <c r="AM463" s="219">
        <f t="shared" si="555"/>
        <v>0</v>
      </c>
      <c r="AN463" s="219">
        <f t="shared" si="555"/>
        <v>0</v>
      </c>
      <c r="AO463" s="219">
        <f t="shared" si="555"/>
        <v>1658.1</v>
      </c>
      <c r="AP463" s="219">
        <f t="shared" si="555"/>
        <v>0</v>
      </c>
      <c r="AQ463" s="219">
        <f t="shared" si="555"/>
        <v>814.89999999999964</v>
      </c>
      <c r="AR463" s="219">
        <f t="shared" si="555"/>
        <v>0</v>
      </c>
      <c r="AS463" s="219">
        <f t="shared" si="555"/>
        <v>0</v>
      </c>
      <c r="AT463" s="219">
        <f t="shared" si="555"/>
        <v>5527</v>
      </c>
      <c r="AU463" s="219">
        <f t="shared" si="555"/>
        <v>0</v>
      </c>
      <c r="AV463" s="219">
        <f t="shared" si="555"/>
        <v>0</v>
      </c>
      <c r="AW463" s="219">
        <f t="shared" si="555"/>
        <v>5527</v>
      </c>
      <c r="AX463" s="217"/>
    </row>
    <row r="464" spans="2:50" s="220" customFormat="1" ht="50.1" hidden="1" customHeight="1">
      <c r="B464" s="217"/>
      <c r="C464" s="112" t="str">
        <f>C371</f>
        <v>КЛІНІКО-ДІАГНОСТИЧНА ЛАБОРАТОРІЯ</v>
      </c>
      <c r="D464" s="217"/>
      <c r="E464" s="217"/>
      <c r="F464" s="217"/>
      <c r="G464" s="217"/>
      <c r="H464" s="709"/>
      <c r="I464" s="217"/>
      <c r="J464" s="709"/>
      <c r="K464" s="217"/>
      <c r="L464" s="217"/>
      <c r="M464" s="709"/>
      <c r="N464" s="217"/>
      <c r="O464" s="709"/>
      <c r="P464" s="217"/>
      <c r="Q464" s="217"/>
      <c r="R464" s="217"/>
      <c r="S464" s="218">
        <f>S387</f>
        <v>9</v>
      </c>
      <c r="T464" s="218">
        <f t="shared" ref="T464:AW464" si="556">T387</f>
        <v>0</v>
      </c>
      <c r="U464" s="218"/>
      <c r="V464" s="703"/>
      <c r="W464" s="218"/>
      <c r="X464" s="703"/>
      <c r="Y464" s="703"/>
      <c r="Z464" s="218"/>
      <c r="AA464" s="218"/>
      <c r="AB464" s="219">
        <f t="shared" si="556"/>
        <v>81921.493499999997</v>
      </c>
      <c r="AC464" s="219">
        <f t="shared" si="556"/>
        <v>47455.506500000003</v>
      </c>
      <c r="AD464" s="219">
        <f t="shared" si="556"/>
        <v>129377</v>
      </c>
      <c r="AE464" s="219">
        <f t="shared" si="556"/>
        <v>129377</v>
      </c>
      <c r="AF464" s="219">
        <f t="shared" si="556"/>
        <v>47455.506500000003</v>
      </c>
      <c r="AG464" s="219">
        <f t="shared" si="556"/>
        <v>72000</v>
      </c>
      <c r="AH464" s="219">
        <f t="shared" si="556"/>
        <v>-4172.953499999996</v>
      </c>
      <c r="AI464" s="219">
        <f t="shared" si="556"/>
        <v>52303</v>
      </c>
      <c r="AJ464" s="219">
        <f t="shared" si="556"/>
        <v>0</v>
      </c>
      <c r="AK464" s="219">
        <f t="shared" si="556"/>
        <v>60417.045000000006</v>
      </c>
      <c r="AL464" s="219">
        <f t="shared" si="556"/>
        <v>0</v>
      </c>
      <c r="AM464" s="219">
        <f t="shared" si="556"/>
        <v>8114.045000000001</v>
      </c>
      <c r="AN464" s="219">
        <f t="shared" si="556"/>
        <v>0</v>
      </c>
      <c r="AO464" s="219">
        <f t="shared" si="556"/>
        <v>15755.9085</v>
      </c>
      <c r="AP464" s="219">
        <f t="shared" si="556"/>
        <v>0</v>
      </c>
      <c r="AQ464" s="219">
        <f t="shared" si="556"/>
        <v>5371.54</v>
      </c>
      <c r="AR464" s="219">
        <f t="shared" si="556"/>
        <v>377</v>
      </c>
      <c r="AS464" s="219">
        <f t="shared" si="556"/>
        <v>0</v>
      </c>
      <c r="AT464" s="219">
        <f t="shared" si="556"/>
        <v>60417.045000000006</v>
      </c>
      <c r="AU464" s="219">
        <f t="shared" si="556"/>
        <v>0</v>
      </c>
      <c r="AV464" s="219">
        <f t="shared" si="556"/>
        <v>0</v>
      </c>
      <c r="AW464" s="219">
        <f t="shared" si="556"/>
        <v>60417.045000000006</v>
      </c>
      <c r="AX464" s="217"/>
    </row>
    <row r="465" spans="1:51" s="220" customFormat="1" ht="50.1" hidden="1" customHeight="1">
      <c r="B465" s="217"/>
      <c r="C465" s="112" t="str">
        <f>C388</f>
        <v>РЕНТГЕН КАБІНЕТ</v>
      </c>
      <c r="D465" s="217"/>
      <c r="E465" s="217"/>
      <c r="F465" s="217"/>
      <c r="G465" s="217"/>
      <c r="H465" s="709"/>
      <c r="I465" s="217"/>
      <c r="J465" s="709"/>
      <c r="K465" s="217"/>
      <c r="L465" s="217"/>
      <c r="M465" s="709"/>
      <c r="N465" s="217"/>
      <c r="O465" s="709"/>
      <c r="P465" s="217"/>
      <c r="Q465" s="217"/>
      <c r="R465" s="217"/>
      <c r="S465" s="218">
        <f>S399</f>
        <v>4.5</v>
      </c>
      <c r="T465" s="218">
        <f t="shared" ref="T465:AW465" si="557">T399</f>
        <v>0.5</v>
      </c>
      <c r="U465" s="218"/>
      <c r="V465" s="703"/>
      <c r="W465" s="218"/>
      <c r="X465" s="703"/>
      <c r="Y465" s="703"/>
      <c r="Z465" s="218"/>
      <c r="AA465" s="218"/>
      <c r="AB465" s="219">
        <f t="shared" si="557"/>
        <v>41461.964999999997</v>
      </c>
      <c r="AC465" s="219">
        <f t="shared" si="557"/>
        <v>26538.035</v>
      </c>
      <c r="AD465" s="219">
        <f t="shared" si="557"/>
        <v>64000</v>
      </c>
      <c r="AE465" s="219">
        <f t="shared" si="557"/>
        <v>64000</v>
      </c>
      <c r="AF465" s="219">
        <f t="shared" si="557"/>
        <v>26538.035</v>
      </c>
      <c r="AG465" s="219">
        <f t="shared" si="557"/>
        <v>36000</v>
      </c>
      <c r="AH465" s="219">
        <f t="shared" si="557"/>
        <v>-388.29999999999927</v>
      </c>
      <c r="AI465" s="219">
        <f t="shared" si="557"/>
        <v>21214</v>
      </c>
      <c r="AJ465" s="219">
        <f t="shared" si="557"/>
        <v>3386.5</v>
      </c>
      <c r="AK465" s="219">
        <f t="shared" si="557"/>
        <v>24396.1</v>
      </c>
      <c r="AL465" s="219">
        <f t="shared" si="557"/>
        <v>3894.4749999999999</v>
      </c>
      <c r="AM465" s="219">
        <f t="shared" si="557"/>
        <v>3182.1000000000004</v>
      </c>
      <c r="AN465" s="219">
        <f t="shared" si="557"/>
        <v>507.97499999999991</v>
      </c>
      <c r="AO465" s="219">
        <f t="shared" si="557"/>
        <v>7318.83</v>
      </c>
      <c r="AP465" s="219">
        <f t="shared" si="557"/>
        <v>778.89499999999998</v>
      </c>
      <c r="AQ465" s="219">
        <f t="shared" si="557"/>
        <v>1073.665</v>
      </c>
      <c r="AR465" s="219">
        <f t="shared" si="557"/>
        <v>0</v>
      </c>
      <c r="AS465" s="219">
        <f t="shared" si="557"/>
        <v>0</v>
      </c>
      <c r="AT465" s="219">
        <f t="shared" si="557"/>
        <v>24396.1</v>
      </c>
      <c r="AU465" s="219">
        <f t="shared" si="557"/>
        <v>3894.4749999999999</v>
      </c>
      <c r="AV465" s="219">
        <f t="shared" si="557"/>
        <v>0</v>
      </c>
      <c r="AW465" s="219">
        <f t="shared" si="557"/>
        <v>28290.574999999997</v>
      </c>
      <c r="AX465" s="217"/>
    </row>
    <row r="466" spans="1:51" s="220" customFormat="1" ht="50.1" hidden="1" customHeight="1">
      <c r="B466" s="217"/>
      <c r="C466" s="112" t="str">
        <f>C400</f>
        <v>РЕАБІЛІТАЦІЙНЕ ВІДДІЛЕННЯ ДЛЯ НАДАННЯ АМБУЛАТОРНОЇ РЕАБІЛІТАЦІЙНОЇ ДОПОМОГИ ХВОРИМ</v>
      </c>
      <c r="D466" s="217"/>
      <c r="E466" s="217"/>
      <c r="F466" s="217"/>
      <c r="G466" s="217"/>
      <c r="H466" s="709"/>
      <c r="I466" s="217"/>
      <c r="J466" s="709"/>
      <c r="K466" s="217"/>
      <c r="L466" s="217"/>
      <c r="M466" s="709"/>
      <c r="N466" s="217"/>
      <c r="O466" s="709"/>
      <c r="P466" s="217"/>
      <c r="Q466" s="217"/>
      <c r="R466" s="217"/>
      <c r="S466" s="218">
        <f>S430</f>
        <v>14</v>
      </c>
      <c r="T466" s="218">
        <f t="shared" ref="T466:AW466" si="558">T430</f>
        <v>1.75</v>
      </c>
      <c r="U466" s="218"/>
      <c r="V466" s="703"/>
      <c r="W466" s="218"/>
      <c r="X466" s="703"/>
      <c r="Y466" s="703"/>
      <c r="Z466" s="218"/>
      <c r="AA466" s="218"/>
      <c r="AB466" s="219">
        <f t="shared" si="558"/>
        <v>127091.45</v>
      </c>
      <c r="AC466" s="219">
        <f t="shared" si="558"/>
        <v>130160.55</v>
      </c>
      <c r="AD466" s="219">
        <f t="shared" si="558"/>
        <v>36377</v>
      </c>
      <c r="AE466" s="219">
        <f t="shared" si="558"/>
        <v>36377</v>
      </c>
      <c r="AF466" s="219">
        <f t="shared" si="558"/>
        <v>12000</v>
      </c>
      <c r="AG466" s="219">
        <f t="shared" si="558"/>
        <v>24000</v>
      </c>
      <c r="AH466" s="219">
        <f t="shared" si="558"/>
        <v>6855.5</v>
      </c>
      <c r="AI466" s="219">
        <f t="shared" si="558"/>
        <v>12492.5</v>
      </c>
      <c r="AJ466" s="219">
        <f t="shared" si="558"/>
        <v>2907.5</v>
      </c>
      <c r="AK466" s="219">
        <f t="shared" si="558"/>
        <v>12492.5</v>
      </c>
      <c r="AL466" s="219">
        <f t="shared" si="558"/>
        <v>2907.5</v>
      </c>
      <c r="AM466" s="219">
        <f t="shared" si="558"/>
        <v>0</v>
      </c>
      <c r="AN466" s="219">
        <f t="shared" si="558"/>
        <v>0</v>
      </c>
      <c r="AO466" s="219">
        <f t="shared" si="558"/>
        <v>1744.5</v>
      </c>
      <c r="AP466" s="219">
        <f t="shared" si="558"/>
        <v>0</v>
      </c>
      <c r="AQ466" s="219">
        <f t="shared" si="558"/>
        <v>6855.5</v>
      </c>
      <c r="AR466" s="219">
        <f t="shared" si="558"/>
        <v>377</v>
      </c>
      <c r="AS466" s="219">
        <f t="shared" si="558"/>
        <v>0</v>
      </c>
      <c r="AT466" s="219">
        <f t="shared" si="558"/>
        <v>12492.5</v>
      </c>
      <c r="AU466" s="219">
        <f t="shared" si="558"/>
        <v>2907.5</v>
      </c>
      <c r="AV466" s="219">
        <f t="shared" si="558"/>
        <v>0</v>
      </c>
      <c r="AW466" s="219">
        <f t="shared" si="558"/>
        <v>15400</v>
      </c>
      <c r="AX466" s="217"/>
    </row>
    <row r="467" spans="1:51" s="220" customFormat="1" ht="50.1" hidden="1" customHeight="1">
      <c r="B467" s="217"/>
      <c r="C467" s="112" t="str">
        <f>C431</f>
        <v>ВІДДІЛ З ІНФЕКЦІЙНОГО КОНТРОЛЮ</v>
      </c>
      <c r="D467" s="217"/>
      <c r="E467" s="217"/>
      <c r="F467" s="217"/>
      <c r="G467" s="217"/>
      <c r="H467" s="709"/>
      <c r="I467" s="217"/>
      <c r="J467" s="709"/>
      <c r="K467" s="217"/>
      <c r="L467" s="217"/>
      <c r="M467" s="709"/>
      <c r="N467" s="217"/>
      <c r="O467" s="709"/>
      <c r="P467" s="217"/>
      <c r="Q467" s="217"/>
      <c r="R467" s="217"/>
      <c r="S467" s="218">
        <f>S441</f>
        <v>2</v>
      </c>
      <c r="T467" s="218">
        <f t="shared" ref="T467:AW467" si="559">T441</f>
        <v>0.5</v>
      </c>
      <c r="U467" s="218"/>
      <c r="V467" s="703"/>
      <c r="W467" s="218"/>
      <c r="X467" s="703"/>
      <c r="Y467" s="703"/>
      <c r="Z467" s="218"/>
      <c r="AA467" s="218"/>
      <c r="AB467" s="219">
        <f t="shared" si="559"/>
        <v>20714.45</v>
      </c>
      <c r="AC467" s="219">
        <f t="shared" si="559"/>
        <v>16285.55</v>
      </c>
      <c r="AD467" s="219">
        <f t="shared" si="559"/>
        <v>37000</v>
      </c>
      <c r="AE467" s="219">
        <f t="shared" si="559"/>
        <v>37000</v>
      </c>
      <c r="AF467" s="219">
        <f t="shared" si="559"/>
        <v>16285.55</v>
      </c>
      <c r="AG467" s="219">
        <f t="shared" si="559"/>
        <v>20000</v>
      </c>
      <c r="AH467" s="219">
        <f t="shared" si="559"/>
        <v>1330.0500000000002</v>
      </c>
      <c r="AI467" s="219">
        <f t="shared" si="559"/>
        <v>10735</v>
      </c>
      <c r="AJ467" s="219">
        <f t="shared" si="559"/>
        <v>3626.5</v>
      </c>
      <c r="AK467" s="219">
        <f t="shared" si="559"/>
        <v>10735</v>
      </c>
      <c r="AL467" s="219">
        <f t="shared" si="559"/>
        <v>3626.5</v>
      </c>
      <c r="AM467" s="219">
        <f t="shared" si="559"/>
        <v>0</v>
      </c>
      <c r="AN467" s="219">
        <f t="shared" si="559"/>
        <v>0</v>
      </c>
      <c r="AO467" s="219">
        <f t="shared" si="559"/>
        <v>3220.5</v>
      </c>
      <c r="AP467" s="219">
        <f t="shared" si="559"/>
        <v>1087.95</v>
      </c>
      <c r="AQ467" s="219">
        <f t="shared" si="559"/>
        <v>2044.5</v>
      </c>
      <c r="AR467" s="219">
        <f t="shared" si="559"/>
        <v>0</v>
      </c>
      <c r="AS467" s="219">
        <f t="shared" si="559"/>
        <v>0</v>
      </c>
      <c r="AT467" s="219">
        <f t="shared" si="559"/>
        <v>10735</v>
      </c>
      <c r="AU467" s="219">
        <f t="shared" si="559"/>
        <v>3626.5</v>
      </c>
      <c r="AV467" s="219">
        <f t="shared" si="559"/>
        <v>0</v>
      </c>
      <c r="AW467" s="219">
        <f t="shared" si="559"/>
        <v>14361.5</v>
      </c>
      <c r="AX467" s="217"/>
    </row>
    <row r="468" spans="1:51" s="220" customFormat="1" ht="24.95" hidden="1" customHeight="1">
      <c r="B468" s="217"/>
      <c r="C468" s="112" t="str">
        <f>C442</f>
        <v>ЗАГАЛЬНО - ЛІКАРНЯНИЙ ПЕРСОНАЛ</v>
      </c>
      <c r="D468" s="217"/>
      <c r="E468" s="217"/>
      <c r="F468" s="217"/>
      <c r="G468" s="217"/>
      <c r="H468" s="709"/>
      <c r="I468" s="217"/>
      <c r="J468" s="709"/>
      <c r="K468" s="217"/>
      <c r="L468" s="217"/>
      <c r="M468" s="709"/>
      <c r="N468" s="217"/>
      <c r="O468" s="709"/>
      <c r="P468" s="217"/>
      <c r="Q468" s="217"/>
      <c r="R468" s="217"/>
      <c r="S468" s="218">
        <f>S446</f>
        <v>1</v>
      </c>
      <c r="T468" s="218">
        <f t="shared" ref="T468:AW468" si="560">T446</f>
        <v>0.75</v>
      </c>
      <c r="U468" s="218"/>
      <c r="V468" s="703"/>
      <c r="W468" s="218"/>
      <c r="X468" s="703"/>
      <c r="Y468" s="703"/>
      <c r="Z468" s="218"/>
      <c r="AA468" s="218"/>
      <c r="AB468" s="219">
        <f t="shared" si="560"/>
        <v>14000</v>
      </c>
      <c r="AC468" s="219">
        <f t="shared" si="560"/>
        <v>9625</v>
      </c>
      <c r="AD468" s="219">
        <f t="shared" si="560"/>
        <v>23625</v>
      </c>
      <c r="AE468" s="219">
        <f t="shared" si="560"/>
        <v>23625</v>
      </c>
      <c r="AF468" s="219">
        <f t="shared" si="560"/>
        <v>9625</v>
      </c>
      <c r="AG468" s="219">
        <f t="shared" si="560"/>
        <v>14000</v>
      </c>
      <c r="AH468" s="219">
        <f t="shared" si="560"/>
        <v>3051.5749999999994</v>
      </c>
      <c r="AI468" s="219">
        <f t="shared" si="560"/>
        <v>8778.25</v>
      </c>
      <c r="AJ468" s="219">
        <f t="shared" si="560"/>
        <v>8778.25</v>
      </c>
      <c r="AK468" s="219">
        <f t="shared" si="560"/>
        <v>8778.25</v>
      </c>
      <c r="AL468" s="219">
        <f t="shared" si="560"/>
        <v>8778.25</v>
      </c>
      <c r="AM468" s="219">
        <f t="shared" si="560"/>
        <v>0</v>
      </c>
      <c r="AN468" s="219">
        <f t="shared" si="560"/>
        <v>0</v>
      </c>
      <c r="AO468" s="219">
        <f t="shared" si="560"/>
        <v>2170.1750000000002</v>
      </c>
      <c r="AP468" s="219">
        <f t="shared" si="560"/>
        <v>1243.5749999999998</v>
      </c>
      <c r="AQ468" s="219">
        <f t="shared" si="560"/>
        <v>3051.5749999999994</v>
      </c>
      <c r="AR468" s="219">
        <f t="shared" si="560"/>
        <v>0</v>
      </c>
      <c r="AS468" s="219">
        <f t="shared" si="560"/>
        <v>0</v>
      </c>
      <c r="AT468" s="219">
        <f t="shared" si="560"/>
        <v>8778.25</v>
      </c>
      <c r="AU468" s="219">
        <f t="shared" si="560"/>
        <v>8778.25</v>
      </c>
      <c r="AV468" s="219">
        <f t="shared" si="560"/>
        <v>0</v>
      </c>
      <c r="AW468" s="219">
        <f t="shared" si="560"/>
        <v>8778.25</v>
      </c>
      <c r="AX468" s="217"/>
    </row>
    <row r="469" spans="1:51" s="220" customFormat="1" ht="24.95" hidden="1" customHeight="1">
      <c r="B469" s="217"/>
      <c r="C469" s="112"/>
      <c r="D469" s="217"/>
      <c r="E469" s="217"/>
      <c r="F469" s="217"/>
      <c r="G469" s="217"/>
      <c r="H469" s="709"/>
      <c r="I469" s="217"/>
      <c r="J469" s="709"/>
      <c r="K469" s="217"/>
      <c r="L469" s="217"/>
      <c r="M469" s="709"/>
      <c r="N469" s="217"/>
      <c r="O469" s="709"/>
      <c r="P469" s="217"/>
      <c r="Q469" s="217"/>
      <c r="R469" s="217"/>
      <c r="S469" s="218">
        <f>SUM(S449:S468)</f>
        <v>232.25</v>
      </c>
      <c r="T469" s="218">
        <f t="shared" ref="T469:AW469" si="561">SUM(T449:T468)</f>
        <v>16.25</v>
      </c>
      <c r="U469" s="218"/>
      <c r="V469" s="703"/>
      <c r="W469" s="218"/>
      <c r="X469" s="703"/>
      <c r="Y469" s="703"/>
      <c r="Z469" s="218"/>
      <c r="AA469" s="218"/>
      <c r="AB469" s="219">
        <f t="shared" si="561"/>
        <v>2128898.4763750001</v>
      </c>
      <c r="AC469" s="219">
        <f t="shared" si="561"/>
        <v>1087773.6705750001</v>
      </c>
      <c r="AD469" s="219">
        <f t="shared" si="561"/>
        <v>2991797.14695</v>
      </c>
      <c r="AE469" s="219">
        <f t="shared" si="561"/>
        <v>2991446.5202250001</v>
      </c>
      <c r="AF469" s="219">
        <f t="shared" si="561"/>
        <v>969262.4938500002</v>
      </c>
      <c r="AG469" s="219">
        <f t="shared" si="561"/>
        <v>1882000</v>
      </c>
      <c r="AH469" s="219">
        <f t="shared" si="561"/>
        <v>386611.53425000008</v>
      </c>
      <c r="AI469" s="219">
        <f t="shared" si="561"/>
        <v>1110394.625</v>
      </c>
      <c r="AJ469" s="219">
        <f t="shared" si="561"/>
        <v>155259.85999999999</v>
      </c>
      <c r="AK469" s="219">
        <f t="shared" si="561"/>
        <v>1180195.8442499998</v>
      </c>
      <c r="AL469" s="219">
        <f t="shared" si="561"/>
        <v>157612.35649999999</v>
      </c>
      <c r="AM469" s="219">
        <f t="shared" si="561"/>
        <v>72751.594249999995</v>
      </c>
      <c r="AN469" s="219">
        <f t="shared" si="561"/>
        <v>1916.3714999999997</v>
      </c>
      <c r="AO469" s="219">
        <f t="shared" si="561"/>
        <v>200890.65237500001</v>
      </c>
      <c r="AP469" s="219">
        <f t="shared" si="561"/>
        <v>19126.013500000001</v>
      </c>
      <c r="AQ469" s="219">
        <f t="shared" si="561"/>
        <v>422776.22250000003</v>
      </c>
      <c r="AR469" s="219">
        <f t="shared" si="561"/>
        <v>18712.300000000003</v>
      </c>
      <c r="AS469" s="219">
        <f t="shared" si="561"/>
        <v>2262</v>
      </c>
      <c r="AT469" s="219">
        <f t="shared" si="561"/>
        <v>1174392.2192499998</v>
      </c>
      <c r="AU469" s="219">
        <f t="shared" si="561"/>
        <v>154268.73149999999</v>
      </c>
      <c r="AV469" s="219">
        <f t="shared" si="561"/>
        <v>0</v>
      </c>
      <c r="AW469" s="219">
        <f t="shared" si="561"/>
        <v>1321750.3117499999</v>
      </c>
      <c r="AX469" s="217"/>
    </row>
    <row r="470" spans="1:51" s="220" customFormat="1" ht="27.75" hidden="1" customHeight="1">
      <c r="B470" s="217"/>
      <c r="C470" s="112"/>
      <c r="D470" s="217"/>
      <c r="E470" s="217"/>
      <c r="F470" s="217"/>
      <c r="G470" s="217"/>
      <c r="H470" s="709"/>
      <c r="I470" s="217"/>
      <c r="J470" s="709"/>
      <c r="K470" s="217"/>
      <c r="L470" s="217"/>
      <c r="M470" s="709"/>
      <c r="N470" s="217"/>
      <c r="O470" s="709"/>
      <c r="P470" s="217"/>
      <c r="Q470" s="217"/>
      <c r="R470" s="217"/>
      <c r="S470" s="218"/>
      <c r="T470" s="218"/>
      <c r="U470" s="218"/>
      <c r="V470" s="703"/>
      <c r="W470" s="218"/>
      <c r="X470" s="703"/>
      <c r="Y470" s="703"/>
      <c r="Z470" s="218"/>
      <c r="AA470" s="218"/>
      <c r="AB470" s="219"/>
      <c r="AC470" s="219"/>
      <c r="AD470" s="219"/>
      <c r="AE470" s="219"/>
      <c r="AF470" s="219"/>
      <c r="AG470" s="219"/>
      <c r="AH470" s="219"/>
      <c r="AI470" s="219"/>
      <c r="AJ470" s="219"/>
      <c r="AK470" s="219"/>
      <c r="AL470" s="219"/>
      <c r="AM470" s="219"/>
      <c r="AN470" s="219"/>
      <c r="AO470" s="219"/>
      <c r="AP470" s="219"/>
      <c r="AQ470" s="219"/>
      <c r="AR470" s="219"/>
      <c r="AS470" s="219"/>
      <c r="AT470" s="219"/>
      <c r="AU470" s="219"/>
      <c r="AV470" s="219"/>
      <c r="AW470" s="219"/>
      <c r="AX470" s="217"/>
    </row>
    <row r="471" spans="1:51" s="220" customFormat="1" ht="24.95" hidden="1" customHeight="1">
      <c r="B471" s="217"/>
      <c r="C471" s="112" t="str">
        <f>C8</f>
        <v>АПАРАТ УПРАВЛІННЯ</v>
      </c>
      <c r="D471" s="217"/>
      <c r="E471" s="217"/>
      <c r="F471" s="217"/>
      <c r="G471" s="217"/>
      <c r="H471" s="709"/>
      <c r="I471" s="217"/>
      <c r="J471" s="709"/>
      <c r="K471" s="217"/>
      <c r="L471" s="217"/>
      <c r="M471" s="709"/>
      <c r="N471" s="217"/>
      <c r="O471" s="709"/>
      <c r="P471" s="217"/>
      <c r="Q471" s="217"/>
      <c r="R471" s="217"/>
      <c r="S471" s="218">
        <f>S19+S27+S32+S46+S94</f>
        <v>50</v>
      </c>
      <c r="T471" s="218">
        <f>T19+T27+T32+T46+T94</f>
        <v>4</v>
      </c>
      <c r="U471" s="218"/>
      <c r="V471" s="703"/>
      <c r="W471" s="218"/>
      <c r="X471" s="703"/>
      <c r="Y471" s="703"/>
      <c r="Z471" s="218"/>
      <c r="AA471" s="218"/>
      <c r="AB471" s="222">
        <f>AB19+AB27+AB32+AB46+AB94</f>
        <v>480670.89687499998</v>
      </c>
      <c r="AC471" s="222">
        <f t="shared" ref="AC471:AW471" si="562">AC19+AC27+AC32+AC46+AC94</f>
        <v>10189.950075000001</v>
      </c>
      <c r="AD471" s="222">
        <f t="shared" si="562"/>
        <v>490860.84694999998</v>
      </c>
      <c r="AE471" s="222">
        <f t="shared" si="562"/>
        <v>490510.220225</v>
      </c>
      <c r="AF471" s="222">
        <f t="shared" si="562"/>
        <v>9839.3233500000024</v>
      </c>
      <c r="AG471" s="222">
        <f t="shared" si="562"/>
        <v>432000</v>
      </c>
      <c r="AH471" s="222">
        <f t="shared" si="562"/>
        <v>180182.6</v>
      </c>
      <c r="AI471" s="222">
        <f t="shared" si="562"/>
        <v>249793.625</v>
      </c>
      <c r="AJ471" s="222">
        <f t="shared" si="562"/>
        <v>56934.61</v>
      </c>
      <c r="AK471" s="222">
        <f t="shared" si="562"/>
        <v>265782.72424999997</v>
      </c>
      <c r="AL471" s="222">
        <f t="shared" si="562"/>
        <v>50984.426500000001</v>
      </c>
      <c r="AM471" s="222">
        <f t="shared" si="562"/>
        <v>15989.099249999999</v>
      </c>
      <c r="AN471" s="222">
        <f t="shared" si="562"/>
        <v>-5950.1835000000001</v>
      </c>
      <c r="AO471" s="222">
        <f t="shared" si="562"/>
        <v>16397.272624999998</v>
      </c>
      <c r="AP471" s="222">
        <f t="shared" si="562"/>
        <v>524</v>
      </c>
      <c r="AQ471" s="222">
        <f t="shared" si="562"/>
        <v>168356.1</v>
      </c>
      <c r="AR471" s="222">
        <f t="shared" si="562"/>
        <v>1278</v>
      </c>
      <c r="AS471" s="222">
        <f t="shared" si="562"/>
        <v>0</v>
      </c>
      <c r="AT471" s="222">
        <f t="shared" si="562"/>
        <v>263322.72424999997</v>
      </c>
      <c r="AU471" s="222">
        <f t="shared" si="562"/>
        <v>50984.426500000001</v>
      </c>
      <c r="AV471" s="222">
        <f t="shared" si="562"/>
        <v>0</v>
      </c>
      <c r="AW471" s="222">
        <f t="shared" si="562"/>
        <v>279043.02425000002</v>
      </c>
      <c r="AX471" s="217"/>
    </row>
    <row r="472" spans="1:51" s="220" customFormat="1" ht="24.95" hidden="1" customHeight="1">
      <c r="B472" s="217"/>
      <c r="C472" s="112" t="str">
        <f>C95</f>
        <v>ПОЛІКЛІНІКА</v>
      </c>
      <c r="D472" s="217"/>
      <c r="E472" s="217"/>
      <c r="F472" s="217"/>
      <c r="G472" s="217"/>
      <c r="H472" s="709"/>
      <c r="I472" s="217"/>
      <c r="J472" s="709"/>
      <c r="K472" s="217"/>
      <c r="L472" s="217"/>
      <c r="M472" s="709"/>
      <c r="N472" s="217"/>
      <c r="O472" s="709"/>
      <c r="P472" s="217"/>
      <c r="Q472" s="217"/>
      <c r="R472" s="217"/>
      <c r="S472" s="218">
        <f>S137</f>
        <v>26</v>
      </c>
      <c r="T472" s="218">
        <f>T137</f>
        <v>2.75</v>
      </c>
      <c r="U472" s="218"/>
      <c r="V472" s="703"/>
      <c r="W472" s="218"/>
      <c r="X472" s="703"/>
      <c r="Y472" s="703"/>
      <c r="Z472" s="218"/>
      <c r="AA472" s="218"/>
      <c r="AB472" s="222">
        <f t="shared" ref="AB472:AW472" si="563">AB137</f>
        <v>247536.3725</v>
      </c>
      <c r="AC472" s="222">
        <f t="shared" si="563"/>
        <v>242963.6275</v>
      </c>
      <c r="AD472" s="222">
        <f t="shared" si="563"/>
        <v>490500</v>
      </c>
      <c r="AE472" s="222">
        <f t="shared" si="563"/>
        <v>490500</v>
      </c>
      <c r="AF472" s="222">
        <f t="shared" si="563"/>
        <v>242963.6275</v>
      </c>
      <c r="AG472" s="222">
        <f t="shared" si="563"/>
        <v>230000</v>
      </c>
      <c r="AH472" s="222">
        <f t="shared" si="563"/>
        <v>9780.4274999999961</v>
      </c>
      <c r="AI472" s="222">
        <f t="shared" si="563"/>
        <v>153390.5</v>
      </c>
      <c r="AJ472" s="222">
        <f t="shared" si="563"/>
        <v>14880.25</v>
      </c>
      <c r="AK472" s="222">
        <f t="shared" si="563"/>
        <v>154869.13750000001</v>
      </c>
      <c r="AL472" s="222">
        <f t="shared" si="563"/>
        <v>16332.324999999999</v>
      </c>
      <c r="AM472" s="222">
        <f t="shared" si="563"/>
        <v>4429.0125000000007</v>
      </c>
      <c r="AN472" s="222">
        <f t="shared" si="563"/>
        <v>1015.9499999999996</v>
      </c>
      <c r="AO472" s="222">
        <f t="shared" si="563"/>
        <v>36751.088750000003</v>
      </c>
      <c r="AP472" s="222">
        <f t="shared" si="563"/>
        <v>3312.4387499999998</v>
      </c>
      <c r="AQ472" s="222">
        <f t="shared" si="563"/>
        <v>19789.287499999999</v>
      </c>
      <c r="AR472" s="222">
        <f t="shared" si="563"/>
        <v>0</v>
      </c>
      <c r="AS472" s="222">
        <f t="shared" si="563"/>
        <v>0</v>
      </c>
      <c r="AT472" s="222">
        <f t="shared" si="563"/>
        <v>151525.51250000001</v>
      </c>
      <c r="AU472" s="222">
        <f t="shared" si="563"/>
        <v>12988.7</v>
      </c>
      <c r="AV472" s="222">
        <f t="shared" si="563"/>
        <v>0</v>
      </c>
      <c r="AW472" s="222">
        <f t="shared" si="563"/>
        <v>180948.625</v>
      </c>
      <c r="AX472" s="217"/>
    </row>
    <row r="473" spans="1:51" s="220" customFormat="1" ht="24.95" hidden="1" customHeight="1">
      <c r="B473" s="217"/>
      <c r="C473" s="112" t="str">
        <f>C138</f>
        <v>СТАЦІОНАР</v>
      </c>
      <c r="D473" s="217"/>
      <c r="E473" s="217"/>
      <c r="F473" s="217"/>
      <c r="G473" s="217"/>
      <c r="H473" s="709"/>
      <c r="I473" s="217"/>
      <c r="J473" s="709"/>
      <c r="K473" s="217"/>
      <c r="L473" s="217"/>
      <c r="M473" s="709"/>
      <c r="N473" s="217"/>
      <c r="O473" s="709"/>
      <c r="P473" s="217"/>
      <c r="Q473" s="217"/>
      <c r="R473" s="217"/>
      <c r="S473" s="218">
        <f>S171+S191+S215+S240+S259+S307+S341</f>
        <v>112.75</v>
      </c>
      <c r="T473" s="218">
        <f>T171+T191+T215+T240+T259+T307+T341</f>
        <v>6</v>
      </c>
      <c r="U473" s="218"/>
      <c r="V473" s="703"/>
      <c r="W473" s="218"/>
      <c r="X473" s="703"/>
      <c r="Y473" s="703"/>
      <c r="Z473" s="218"/>
      <c r="AA473" s="218"/>
      <c r="AB473" s="222">
        <f t="shared" ref="AB473:AW473" si="564">AB171+AB191+AB215+AB240+AB259+AB307+AB341</f>
        <v>1009616.8485</v>
      </c>
      <c r="AC473" s="222">
        <f t="shared" si="564"/>
        <v>554055.45150000008</v>
      </c>
      <c r="AD473" s="222">
        <f t="shared" si="564"/>
        <v>1563672.2999999998</v>
      </c>
      <c r="AE473" s="222">
        <f t="shared" si="564"/>
        <v>1563672.2999999998</v>
      </c>
      <c r="AF473" s="222">
        <f t="shared" si="564"/>
        <v>554055.45150000008</v>
      </c>
      <c r="AG473" s="222">
        <f t="shared" si="564"/>
        <v>950000</v>
      </c>
      <c r="AH473" s="222">
        <f t="shared" si="564"/>
        <v>158400.84525000001</v>
      </c>
      <c r="AI473" s="222">
        <f t="shared" si="564"/>
        <v>540121.75</v>
      </c>
      <c r="AJ473" s="222">
        <f t="shared" si="564"/>
        <v>64746.25</v>
      </c>
      <c r="AK473" s="222">
        <f t="shared" si="564"/>
        <v>580606.38749999995</v>
      </c>
      <c r="AL473" s="222">
        <f t="shared" si="564"/>
        <v>71088.88</v>
      </c>
      <c r="AM473" s="222">
        <f t="shared" si="564"/>
        <v>40484.637499999997</v>
      </c>
      <c r="AN473" s="222">
        <f t="shared" si="564"/>
        <v>6342.63</v>
      </c>
      <c r="AO473" s="222">
        <f t="shared" si="564"/>
        <v>107222.86750000001</v>
      </c>
      <c r="AP473" s="222">
        <f t="shared" si="564"/>
        <v>12179.154750000002</v>
      </c>
      <c r="AQ473" s="222">
        <f t="shared" si="564"/>
        <v>184662.26500000001</v>
      </c>
      <c r="AR473" s="222">
        <f t="shared" si="564"/>
        <v>14795.300000000001</v>
      </c>
      <c r="AS473" s="222">
        <f t="shared" si="564"/>
        <v>2262</v>
      </c>
      <c r="AT473" s="222">
        <f t="shared" si="564"/>
        <v>580606.38749999995</v>
      </c>
      <c r="AU473" s="222">
        <f t="shared" si="564"/>
        <v>71088.88</v>
      </c>
      <c r="AV473" s="222">
        <f t="shared" si="564"/>
        <v>0</v>
      </c>
      <c r="AW473" s="222">
        <f t="shared" si="564"/>
        <v>672392.59249999991</v>
      </c>
      <c r="AX473" s="217"/>
    </row>
    <row r="474" spans="1:51" s="220" customFormat="1" ht="24.95" hidden="1" customHeight="1">
      <c r="B474" s="217"/>
      <c r="C474" s="112" t="str">
        <f>C342</f>
        <v>СТРУКТУРНІ ПІДРОЗДІЛИ СТАЦІОНАРУ</v>
      </c>
      <c r="D474" s="217"/>
      <c r="E474" s="217"/>
      <c r="F474" s="217"/>
      <c r="G474" s="217"/>
      <c r="H474" s="709"/>
      <c r="I474" s="217"/>
      <c r="J474" s="709"/>
      <c r="K474" s="217"/>
      <c r="L474" s="217"/>
      <c r="M474" s="709"/>
      <c r="N474" s="217"/>
      <c r="O474" s="709"/>
      <c r="P474" s="217"/>
      <c r="Q474" s="217"/>
      <c r="R474" s="217"/>
      <c r="S474" s="221">
        <f>S369</f>
        <v>13</v>
      </c>
      <c r="T474" s="221">
        <f t="shared" ref="T474:AW474" si="565">T369</f>
        <v>0</v>
      </c>
      <c r="U474" s="221"/>
      <c r="V474" s="698"/>
      <c r="W474" s="221"/>
      <c r="X474" s="698"/>
      <c r="Y474" s="698"/>
      <c r="Z474" s="221"/>
      <c r="AA474" s="221"/>
      <c r="AB474" s="222">
        <f t="shared" si="565"/>
        <v>105885</v>
      </c>
      <c r="AC474" s="222">
        <f t="shared" si="565"/>
        <v>50500</v>
      </c>
      <c r="AD474" s="222">
        <f t="shared" si="565"/>
        <v>156385</v>
      </c>
      <c r="AE474" s="222">
        <f t="shared" si="565"/>
        <v>156385</v>
      </c>
      <c r="AF474" s="222">
        <f t="shared" si="565"/>
        <v>50500</v>
      </c>
      <c r="AG474" s="222">
        <f t="shared" si="565"/>
        <v>104000</v>
      </c>
      <c r="AH474" s="222">
        <f t="shared" si="565"/>
        <v>31571.79</v>
      </c>
      <c r="AI474" s="222">
        <f t="shared" si="565"/>
        <v>61566</v>
      </c>
      <c r="AJ474" s="222">
        <f t="shared" si="565"/>
        <v>0</v>
      </c>
      <c r="AK474" s="222">
        <f t="shared" si="565"/>
        <v>62118.7</v>
      </c>
      <c r="AL474" s="222">
        <f t="shared" si="565"/>
        <v>0</v>
      </c>
      <c r="AM474" s="222">
        <f t="shared" si="565"/>
        <v>552.69999999999982</v>
      </c>
      <c r="AN474" s="222">
        <f t="shared" si="565"/>
        <v>0</v>
      </c>
      <c r="AO474" s="222">
        <f t="shared" si="565"/>
        <v>10309.51</v>
      </c>
      <c r="AP474" s="222">
        <f t="shared" si="565"/>
        <v>0</v>
      </c>
      <c r="AQ474" s="222">
        <f t="shared" si="565"/>
        <v>31571.79</v>
      </c>
      <c r="AR474" s="222">
        <f t="shared" si="565"/>
        <v>1885</v>
      </c>
      <c r="AS474" s="222">
        <f t="shared" si="565"/>
        <v>0</v>
      </c>
      <c r="AT474" s="222">
        <f t="shared" si="565"/>
        <v>62118.7</v>
      </c>
      <c r="AU474" s="222">
        <f t="shared" si="565"/>
        <v>0</v>
      </c>
      <c r="AV474" s="222">
        <f t="shared" si="565"/>
        <v>0</v>
      </c>
      <c r="AW474" s="222">
        <f t="shared" si="565"/>
        <v>62118.7</v>
      </c>
      <c r="AX474" s="217"/>
    </row>
    <row r="475" spans="1:51" s="220" customFormat="1" ht="24.95" hidden="1" customHeight="1">
      <c r="B475" s="217"/>
      <c r="C475" s="112" t="str">
        <f>C370</f>
        <v>ДОПОМІЖНІ ЛІКУВАЛЬНО - ДІАГНОСТИЧНІ ПІДРОЗДІЛИ</v>
      </c>
      <c r="D475" s="217"/>
      <c r="E475" s="217"/>
      <c r="F475" s="217"/>
      <c r="G475" s="217"/>
      <c r="H475" s="709"/>
      <c r="I475" s="217"/>
      <c r="J475" s="709"/>
      <c r="K475" s="217"/>
      <c r="L475" s="217"/>
      <c r="M475" s="709"/>
      <c r="N475" s="217"/>
      <c r="O475" s="709"/>
      <c r="P475" s="217"/>
      <c r="Q475" s="217"/>
      <c r="R475" s="217"/>
      <c r="S475" s="218">
        <f>S387+S399+S430</f>
        <v>27.5</v>
      </c>
      <c r="T475" s="218">
        <f t="shared" ref="T475:AW475" si="566">T387+T399+T430</f>
        <v>2.25</v>
      </c>
      <c r="U475" s="218"/>
      <c r="V475" s="703"/>
      <c r="W475" s="218"/>
      <c r="X475" s="703"/>
      <c r="Y475" s="703"/>
      <c r="Z475" s="218"/>
      <c r="AA475" s="218"/>
      <c r="AB475" s="222">
        <f t="shared" si="566"/>
        <v>250474.90849999999</v>
      </c>
      <c r="AC475" s="222">
        <f t="shared" si="566"/>
        <v>204154.09150000001</v>
      </c>
      <c r="AD475" s="222">
        <f t="shared" si="566"/>
        <v>229754</v>
      </c>
      <c r="AE475" s="222">
        <f t="shared" si="566"/>
        <v>229754</v>
      </c>
      <c r="AF475" s="222">
        <f t="shared" si="566"/>
        <v>85993.541500000007</v>
      </c>
      <c r="AG475" s="222">
        <f t="shared" si="566"/>
        <v>132000</v>
      </c>
      <c r="AH475" s="222">
        <f t="shared" si="566"/>
        <v>2294.2465000000047</v>
      </c>
      <c r="AI475" s="222">
        <f t="shared" si="566"/>
        <v>86009.5</v>
      </c>
      <c r="AJ475" s="222">
        <f t="shared" si="566"/>
        <v>6294</v>
      </c>
      <c r="AK475" s="222">
        <f t="shared" si="566"/>
        <v>97305.645000000004</v>
      </c>
      <c r="AL475" s="222">
        <f t="shared" si="566"/>
        <v>6801.9750000000004</v>
      </c>
      <c r="AM475" s="222">
        <f t="shared" si="566"/>
        <v>11296.145</v>
      </c>
      <c r="AN475" s="222">
        <f t="shared" si="566"/>
        <v>507.97499999999991</v>
      </c>
      <c r="AO475" s="222">
        <f t="shared" si="566"/>
        <v>24819.238499999999</v>
      </c>
      <c r="AP475" s="222">
        <f t="shared" si="566"/>
        <v>778.89499999999998</v>
      </c>
      <c r="AQ475" s="222">
        <f t="shared" si="566"/>
        <v>13300.705</v>
      </c>
      <c r="AR475" s="222">
        <f t="shared" si="566"/>
        <v>754</v>
      </c>
      <c r="AS475" s="222">
        <f t="shared" si="566"/>
        <v>0</v>
      </c>
      <c r="AT475" s="222">
        <f t="shared" si="566"/>
        <v>97305.645000000004</v>
      </c>
      <c r="AU475" s="222">
        <f t="shared" si="566"/>
        <v>6801.9750000000004</v>
      </c>
      <c r="AV475" s="222">
        <f t="shared" si="566"/>
        <v>0</v>
      </c>
      <c r="AW475" s="222">
        <f t="shared" si="566"/>
        <v>104107.62</v>
      </c>
      <c r="AX475" s="217"/>
    </row>
    <row r="476" spans="1:51" s="220" customFormat="1" ht="24.95" hidden="1" customHeight="1">
      <c r="B476" s="217"/>
      <c r="C476" s="112" t="str">
        <f>C431</f>
        <v>ВІДДІЛ З ІНФЕКЦІЙНОГО КОНТРОЛЮ</v>
      </c>
      <c r="D476" s="217"/>
      <c r="E476" s="217"/>
      <c r="F476" s="217"/>
      <c r="G476" s="217"/>
      <c r="H476" s="709"/>
      <c r="I476" s="217"/>
      <c r="J476" s="709"/>
      <c r="K476" s="217"/>
      <c r="L476" s="217"/>
      <c r="M476" s="709"/>
      <c r="N476" s="217"/>
      <c r="O476" s="709"/>
      <c r="P476" s="217"/>
      <c r="Q476" s="217"/>
      <c r="R476" s="217"/>
      <c r="S476" s="218">
        <f>S441</f>
        <v>2</v>
      </c>
      <c r="T476" s="218">
        <f t="shared" ref="T476:AW476" si="567">T441</f>
        <v>0.5</v>
      </c>
      <c r="U476" s="218"/>
      <c r="V476" s="703"/>
      <c r="W476" s="218"/>
      <c r="X476" s="703"/>
      <c r="Y476" s="703"/>
      <c r="Z476" s="218"/>
      <c r="AA476" s="218"/>
      <c r="AB476" s="222">
        <f t="shared" si="567"/>
        <v>20714.45</v>
      </c>
      <c r="AC476" s="222">
        <f t="shared" si="567"/>
        <v>16285.55</v>
      </c>
      <c r="AD476" s="222">
        <f t="shared" si="567"/>
        <v>37000</v>
      </c>
      <c r="AE476" s="222">
        <f t="shared" si="567"/>
        <v>37000</v>
      </c>
      <c r="AF476" s="222">
        <f t="shared" si="567"/>
        <v>16285.55</v>
      </c>
      <c r="AG476" s="222">
        <f t="shared" si="567"/>
        <v>20000</v>
      </c>
      <c r="AH476" s="222">
        <f t="shared" si="567"/>
        <v>1330.0500000000002</v>
      </c>
      <c r="AI476" s="222">
        <f t="shared" si="567"/>
        <v>10735</v>
      </c>
      <c r="AJ476" s="222">
        <f t="shared" si="567"/>
        <v>3626.5</v>
      </c>
      <c r="AK476" s="222">
        <f t="shared" si="567"/>
        <v>10735</v>
      </c>
      <c r="AL476" s="222">
        <f t="shared" si="567"/>
        <v>3626.5</v>
      </c>
      <c r="AM476" s="222">
        <f t="shared" si="567"/>
        <v>0</v>
      </c>
      <c r="AN476" s="222">
        <f t="shared" si="567"/>
        <v>0</v>
      </c>
      <c r="AO476" s="222">
        <f t="shared" si="567"/>
        <v>3220.5</v>
      </c>
      <c r="AP476" s="222">
        <f t="shared" si="567"/>
        <v>1087.95</v>
      </c>
      <c r="AQ476" s="222">
        <f t="shared" si="567"/>
        <v>2044.5</v>
      </c>
      <c r="AR476" s="222">
        <f t="shared" si="567"/>
        <v>0</v>
      </c>
      <c r="AS476" s="222">
        <f t="shared" si="567"/>
        <v>0</v>
      </c>
      <c r="AT476" s="222">
        <f t="shared" si="567"/>
        <v>10735</v>
      </c>
      <c r="AU476" s="222">
        <f t="shared" si="567"/>
        <v>3626.5</v>
      </c>
      <c r="AV476" s="222">
        <f t="shared" si="567"/>
        <v>0</v>
      </c>
      <c r="AW476" s="222">
        <f t="shared" si="567"/>
        <v>14361.5</v>
      </c>
      <c r="AX476" s="217"/>
    </row>
    <row r="477" spans="1:51" s="220" customFormat="1" ht="24.95" hidden="1" customHeight="1">
      <c r="B477" s="217"/>
      <c r="C477" s="112" t="str">
        <f>C442</f>
        <v>ЗАГАЛЬНО - ЛІКАРНЯНИЙ ПЕРСОНАЛ</v>
      </c>
      <c r="D477" s="217"/>
      <c r="E477" s="217"/>
      <c r="F477" s="217"/>
      <c r="G477" s="217"/>
      <c r="H477" s="709"/>
      <c r="I477" s="217"/>
      <c r="J477" s="709"/>
      <c r="K477" s="217"/>
      <c r="L477" s="217"/>
      <c r="M477" s="709"/>
      <c r="N477" s="217"/>
      <c r="O477" s="709"/>
      <c r="P477" s="217"/>
      <c r="Q477" s="217"/>
      <c r="R477" s="217"/>
      <c r="S477" s="218">
        <f>S446</f>
        <v>1</v>
      </c>
      <c r="T477" s="218">
        <f t="shared" ref="T477:AW477" si="568">T446</f>
        <v>0.75</v>
      </c>
      <c r="U477" s="218"/>
      <c r="V477" s="703"/>
      <c r="W477" s="218"/>
      <c r="X477" s="703"/>
      <c r="Y477" s="703"/>
      <c r="Z477" s="218"/>
      <c r="AA477" s="218"/>
      <c r="AB477" s="222">
        <f t="shared" si="568"/>
        <v>14000</v>
      </c>
      <c r="AC477" s="222">
        <f t="shared" si="568"/>
        <v>9625</v>
      </c>
      <c r="AD477" s="222">
        <f t="shared" si="568"/>
        <v>23625</v>
      </c>
      <c r="AE477" s="222">
        <f t="shared" si="568"/>
        <v>23625</v>
      </c>
      <c r="AF477" s="222">
        <f t="shared" si="568"/>
        <v>9625</v>
      </c>
      <c r="AG477" s="222">
        <f t="shared" si="568"/>
        <v>14000</v>
      </c>
      <c r="AH477" s="222">
        <f t="shared" si="568"/>
        <v>3051.5749999999994</v>
      </c>
      <c r="AI477" s="222">
        <f t="shared" si="568"/>
        <v>8778.25</v>
      </c>
      <c r="AJ477" s="222">
        <f t="shared" si="568"/>
        <v>8778.25</v>
      </c>
      <c r="AK477" s="222">
        <f t="shared" si="568"/>
        <v>8778.25</v>
      </c>
      <c r="AL477" s="222">
        <f t="shared" si="568"/>
        <v>8778.25</v>
      </c>
      <c r="AM477" s="222">
        <f t="shared" si="568"/>
        <v>0</v>
      </c>
      <c r="AN477" s="222">
        <f t="shared" si="568"/>
        <v>0</v>
      </c>
      <c r="AO477" s="222">
        <f t="shared" si="568"/>
        <v>2170.1750000000002</v>
      </c>
      <c r="AP477" s="222">
        <f t="shared" si="568"/>
        <v>1243.5749999999998</v>
      </c>
      <c r="AQ477" s="222">
        <f t="shared" si="568"/>
        <v>3051.5749999999994</v>
      </c>
      <c r="AR477" s="222">
        <f t="shared" si="568"/>
        <v>0</v>
      </c>
      <c r="AS477" s="222">
        <f t="shared" si="568"/>
        <v>0</v>
      </c>
      <c r="AT477" s="222">
        <f t="shared" si="568"/>
        <v>8778.25</v>
      </c>
      <c r="AU477" s="222">
        <f t="shared" si="568"/>
        <v>8778.25</v>
      </c>
      <c r="AV477" s="222">
        <f t="shared" si="568"/>
        <v>0</v>
      </c>
      <c r="AW477" s="222">
        <f t="shared" si="568"/>
        <v>8778.25</v>
      </c>
      <c r="AX477" s="217"/>
    </row>
    <row r="478" spans="1:51" s="220" customFormat="1" ht="24.95" hidden="1" customHeight="1">
      <c r="B478" s="217"/>
      <c r="C478" s="217"/>
      <c r="D478" s="217"/>
      <c r="E478" s="217"/>
      <c r="F478" s="217"/>
      <c r="G478" s="217"/>
      <c r="H478" s="709"/>
      <c r="I478" s="217"/>
      <c r="J478" s="709"/>
      <c r="K478" s="217"/>
      <c r="L478" s="217"/>
      <c r="M478" s="709"/>
      <c r="N478" s="217"/>
      <c r="O478" s="709"/>
      <c r="P478" s="217"/>
      <c r="Q478" s="217"/>
      <c r="R478" s="217"/>
      <c r="S478" s="218">
        <f>SUM(S471:S477)</f>
        <v>232.25</v>
      </c>
      <c r="T478" s="218">
        <f t="shared" ref="T478:AW478" si="569">SUM(T471:T477)</f>
        <v>16.25</v>
      </c>
      <c r="U478" s="218"/>
      <c r="V478" s="703"/>
      <c r="W478" s="218"/>
      <c r="X478" s="703"/>
      <c r="Y478" s="703"/>
      <c r="Z478" s="218"/>
      <c r="AA478" s="218"/>
      <c r="AB478" s="222">
        <f t="shared" si="569"/>
        <v>2128898.4763750001</v>
      </c>
      <c r="AC478" s="222">
        <f t="shared" si="569"/>
        <v>1087773.6705750001</v>
      </c>
      <c r="AD478" s="222">
        <f t="shared" si="569"/>
        <v>2991797.14695</v>
      </c>
      <c r="AE478" s="222">
        <f t="shared" si="569"/>
        <v>2991446.5202249996</v>
      </c>
      <c r="AF478" s="222">
        <f t="shared" si="569"/>
        <v>969262.4938500002</v>
      </c>
      <c r="AG478" s="222">
        <f t="shared" si="569"/>
        <v>1882000</v>
      </c>
      <c r="AH478" s="222">
        <f t="shared" si="569"/>
        <v>386611.53424999997</v>
      </c>
      <c r="AI478" s="222">
        <f t="shared" si="569"/>
        <v>1110394.625</v>
      </c>
      <c r="AJ478" s="222">
        <f t="shared" si="569"/>
        <v>155259.85999999999</v>
      </c>
      <c r="AK478" s="222">
        <f t="shared" si="569"/>
        <v>1180195.8442499998</v>
      </c>
      <c r="AL478" s="222">
        <f t="shared" si="569"/>
        <v>157612.35650000002</v>
      </c>
      <c r="AM478" s="222">
        <f t="shared" si="569"/>
        <v>72751.594249999995</v>
      </c>
      <c r="AN478" s="222">
        <f t="shared" si="569"/>
        <v>1916.3714999999997</v>
      </c>
      <c r="AO478" s="222">
        <f t="shared" si="569"/>
        <v>200890.65237500001</v>
      </c>
      <c r="AP478" s="222">
        <f t="shared" si="569"/>
        <v>19126.013500000001</v>
      </c>
      <c r="AQ478" s="222">
        <f t="shared" si="569"/>
        <v>422776.22250000003</v>
      </c>
      <c r="AR478" s="222">
        <f t="shared" si="569"/>
        <v>18712.300000000003</v>
      </c>
      <c r="AS478" s="222">
        <f t="shared" si="569"/>
        <v>2262</v>
      </c>
      <c r="AT478" s="222">
        <f t="shared" si="569"/>
        <v>1174392.2192499998</v>
      </c>
      <c r="AU478" s="222">
        <f t="shared" si="569"/>
        <v>154268.73150000002</v>
      </c>
      <c r="AV478" s="222">
        <f t="shared" si="569"/>
        <v>0</v>
      </c>
      <c r="AW478" s="222">
        <f t="shared" si="569"/>
        <v>1321750.3117499999</v>
      </c>
      <c r="AX478" s="217"/>
    </row>
    <row r="479" spans="1:51" s="716" customFormat="1" ht="24.95" customHeight="1">
      <c r="A479" s="710">
        <f>B479-S479-T479</f>
        <v>0</v>
      </c>
      <c r="B479" s="711">
        <f>'[36]штат-розп'!K231</f>
        <v>3</v>
      </c>
      <c r="C479" s="712" t="s">
        <v>1541</v>
      </c>
      <c r="D479" s="713"/>
      <c r="E479" s="713"/>
      <c r="F479" s="713"/>
      <c r="G479" s="713"/>
      <c r="H479" s="709"/>
      <c r="I479" s="713"/>
      <c r="J479" s="709"/>
      <c r="K479" s="713"/>
      <c r="L479" s="713"/>
      <c r="M479" s="709"/>
      <c r="N479" s="713"/>
      <c r="O479" s="709"/>
      <c r="P479" s="713"/>
      <c r="Q479" s="713"/>
      <c r="R479" s="713"/>
      <c r="S479" s="714">
        <f>S12+S13+S14+S15</f>
        <v>3</v>
      </c>
      <c r="T479" s="714">
        <f>T12+T13+T14+T15</f>
        <v>0</v>
      </c>
      <c r="U479" s="714"/>
      <c r="V479" s="703"/>
      <c r="W479" s="714"/>
      <c r="X479" s="703"/>
      <c r="Y479" s="703"/>
      <c r="Z479" s="714"/>
      <c r="AA479" s="714"/>
      <c r="AB479" s="715">
        <f>AB12+AB13+AB14+AB15</f>
        <v>58199.210875000004</v>
      </c>
      <c r="AC479" s="715">
        <f>AC12+AC13+AC14+AC15</f>
        <v>4524.9205750000001</v>
      </c>
      <c r="AD479" s="714"/>
      <c r="AE479" s="714"/>
      <c r="AF479" s="714"/>
      <c r="AG479" s="714"/>
      <c r="AH479" s="714"/>
      <c r="AI479" s="714"/>
      <c r="AJ479" s="714"/>
      <c r="AK479" s="714"/>
      <c r="AL479" s="714"/>
      <c r="AM479" s="714"/>
      <c r="AN479" s="714"/>
      <c r="AO479" s="714"/>
      <c r="AP479" s="714"/>
      <c r="AQ479" s="714"/>
      <c r="AR479" s="714"/>
      <c r="AS479" s="714"/>
      <c r="AT479" s="715">
        <f>AT12+AT13+AT14+AT15</f>
        <v>44768.623749999999</v>
      </c>
      <c r="AU479" s="715">
        <f>AU12+AU13+AU14+AU15</f>
        <v>0</v>
      </c>
      <c r="AV479" s="715">
        <f>AV12+AV13+AV14+AV15</f>
        <v>0</v>
      </c>
      <c r="AW479" s="715">
        <f>AW12+AW13+AW14+AW15</f>
        <v>44768.623749999999</v>
      </c>
      <c r="AX479" s="715">
        <f>AX12+AX13+AX14+AX15</f>
        <v>0</v>
      </c>
      <c r="AY479" s="220"/>
    </row>
    <row r="480" spans="1:51" s="716" customFormat="1" ht="24.95" customHeight="1">
      <c r="A480" s="710">
        <f>B480-S480-T480-S481-T481-S482-T482</f>
        <v>0</v>
      </c>
      <c r="B480" s="711">
        <f>'[36]штат-розп'!K232</f>
        <v>13</v>
      </c>
      <c r="C480" s="712" t="s">
        <v>1325</v>
      </c>
      <c r="D480" s="713" t="s">
        <v>1784</v>
      </c>
      <c r="E480" s="713"/>
      <c r="F480" s="713"/>
      <c r="G480" s="713"/>
      <c r="H480" s="709"/>
      <c r="I480" s="713"/>
      <c r="J480" s="709"/>
      <c r="K480" s="713"/>
      <c r="L480" s="713"/>
      <c r="M480" s="709"/>
      <c r="N480" s="713"/>
      <c r="O480" s="709"/>
      <c r="P480" s="713"/>
      <c r="Q480" s="713"/>
      <c r="R480" s="713"/>
      <c r="S480" s="714">
        <f>S141+S194++S218+S262+S310+S373</f>
        <v>5</v>
      </c>
      <c r="T480" s="714">
        <f>T141+T194++T218+T262+T310+T373</f>
        <v>1</v>
      </c>
      <c r="U480" s="714"/>
      <c r="V480" s="703"/>
      <c r="W480" s="714"/>
      <c r="X480" s="703"/>
      <c r="Y480" s="703"/>
      <c r="Z480" s="714"/>
      <c r="AA480" s="714"/>
      <c r="AB480" s="715">
        <f>AB141+AB194++AB218+AB262+AB310+AB373</f>
        <v>71780.059500000003</v>
      </c>
      <c r="AC480" s="715">
        <f>AC141+AC194++AC218+AC262+AC310+AC373</f>
        <v>48219.940500000004</v>
      </c>
      <c r="AD480" s="714"/>
      <c r="AE480" s="714"/>
      <c r="AF480" s="714"/>
      <c r="AG480" s="714"/>
      <c r="AH480" s="714"/>
      <c r="AI480" s="714"/>
      <c r="AJ480" s="714"/>
      <c r="AK480" s="714"/>
      <c r="AL480" s="714"/>
      <c r="AM480" s="714"/>
      <c r="AN480" s="714"/>
      <c r="AO480" s="714"/>
      <c r="AP480" s="714"/>
      <c r="AQ480" s="714"/>
      <c r="AR480" s="714"/>
      <c r="AS480" s="714"/>
      <c r="AT480" s="715">
        <f>AT141+AT194++AT218+AT262+AT310+AT402+AT373</f>
        <v>51612.594999999994</v>
      </c>
      <c r="AU480" s="715">
        <f>AU141+AU194++AU218+AU262+AU310+AU402+AU373</f>
        <v>11907.28</v>
      </c>
      <c r="AV480" s="715">
        <f>AV141+AV194++AV218+AV262+AV310+AV402+AV373</f>
        <v>0</v>
      </c>
      <c r="AW480" s="715">
        <f>AW141+AW194++AW218+AW262+AW310+AW373</f>
        <v>57704.875</v>
      </c>
      <c r="AX480" s="715">
        <f>AX141+AX194++AX218+AX262+AX310+AX373</f>
        <v>0</v>
      </c>
      <c r="AY480" s="220"/>
    </row>
    <row r="481" spans="1:52" s="716" customFormat="1" ht="24.95" customHeight="1">
      <c r="A481" s="710"/>
      <c r="B481" s="713"/>
      <c r="C481" s="712" t="s">
        <v>1325</v>
      </c>
      <c r="D481" s="713" t="s">
        <v>1745</v>
      </c>
      <c r="E481" s="713"/>
      <c r="F481" s="713"/>
      <c r="G481" s="713"/>
      <c r="H481" s="709"/>
      <c r="I481" s="713"/>
      <c r="J481" s="709"/>
      <c r="K481" s="713"/>
      <c r="L481" s="713"/>
      <c r="M481" s="709"/>
      <c r="N481" s="713"/>
      <c r="O481" s="709"/>
      <c r="P481" s="713"/>
      <c r="Q481" s="713"/>
      <c r="R481" s="713"/>
      <c r="S481" s="714">
        <f>S17</f>
        <v>1</v>
      </c>
      <c r="T481" s="714">
        <f>T17</f>
        <v>0</v>
      </c>
      <c r="U481" s="714"/>
      <c r="V481" s="703"/>
      <c r="W481" s="714"/>
      <c r="X481" s="703"/>
      <c r="Y481" s="703"/>
      <c r="Z481" s="714"/>
      <c r="AA481" s="714"/>
      <c r="AB481" s="715">
        <f>AB17</f>
        <v>10584.970499999999</v>
      </c>
      <c r="AC481" s="715">
        <f>AC17</f>
        <v>2915.0295000000006</v>
      </c>
      <c r="AD481" s="714"/>
      <c r="AE481" s="714"/>
      <c r="AF481" s="714"/>
      <c r="AG481" s="714"/>
      <c r="AH481" s="714"/>
      <c r="AI481" s="714"/>
      <c r="AJ481" s="714"/>
      <c r="AK481" s="714"/>
      <c r="AL481" s="714"/>
      <c r="AM481" s="714"/>
      <c r="AN481" s="714"/>
      <c r="AO481" s="714"/>
      <c r="AP481" s="714"/>
      <c r="AQ481" s="714"/>
      <c r="AR481" s="714"/>
      <c r="AS481" s="714"/>
      <c r="AT481" s="715">
        <f>AT17</f>
        <v>8142.2849999999999</v>
      </c>
      <c r="AU481" s="715">
        <f>AU17</f>
        <v>0</v>
      </c>
      <c r="AV481" s="715">
        <f>AV17</f>
        <v>0</v>
      </c>
      <c r="AW481" s="715">
        <f>AW17</f>
        <v>8142.2849999999999</v>
      </c>
      <c r="AX481" s="715">
        <f>AX17</f>
        <v>0</v>
      </c>
      <c r="AY481" s="220"/>
    </row>
    <row r="482" spans="1:52" s="716" customFormat="1" ht="24.95" customHeight="1">
      <c r="A482" s="710"/>
      <c r="B482" s="713"/>
      <c r="C482" s="712" t="s">
        <v>1325</v>
      </c>
      <c r="D482" s="713" t="s">
        <v>1785</v>
      </c>
      <c r="E482" s="713"/>
      <c r="F482" s="713"/>
      <c r="G482" s="713"/>
      <c r="H482" s="709"/>
      <c r="I482" s="713"/>
      <c r="J482" s="709"/>
      <c r="K482" s="713"/>
      <c r="L482" s="713"/>
      <c r="M482" s="709"/>
      <c r="N482" s="713"/>
      <c r="O482" s="709"/>
      <c r="P482" s="713"/>
      <c r="Q482" s="713"/>
      <c r="R482" s="713"/>
      <c r="S482" s="714">
        <f>S16+S21+S48+S50+S51+S34</f>
        <v>6</v>
      </c>
      <c r="T482" s="714">
        <f>T16+T21+T48+T50+T51+T34</f>
        <v>0</v>
      </c>
      <c r="U482" s="714"/>
      <c r="V482" s="703"/>
      <c r="W482" s="714"/>
      <c r="X482" s="703"/>
      <c r="Y482" s="703"/>
      <c r="Z482" s="714"/>
      <c r="AA482" s="714"/>
      <c r="AB482" s="714">
        <f>AB16+AB21+AB48+AB50+AB51+AB34</f>
        <v>58608.715499999998</v>
      </c>
      <c r="AC482" s="714">
        <f>AC16+AC21+AC48+AC50+AC51+AC34</f>
        <v>0</v>
      </c>
      <c r="AD482" s="714"/>
      <c r="AE482" s="714"/>
      <c r="AF482" s="714"/>
      <c r="AG482" s="714"/>
      <c r="AH482" s="714"/>
      <c r="AI482" s="714"/>
      <c r="AJ482" s="714"/>
      <c r="AK482" s="714"/>
      <c r="AL482" s="714"/>
      <c r="AM482" s="714"/>
      <c r="AN482" s="714"/>
      <c r="AO482" s="714"/>
      <c r="AP482" s="714"/>
      <c r="AQ482" s="714"/>
      <c r="AR482" s="714"/>
      <c r="AS482" s="714"/>
      <c r="AT482" s="715">
        <f>AT16+AT21+AT48+AT50+AT51</f>
        <v>40794.715499999998</v>
      </c>
      <c r="AU482" s="715">
        <f>AU16+AU21+AU48+AU50+AU51</f>
        <v>12604.1265</v>
      </c>
      <c r="AV482" s="715">
        <f>AV16+AV21+AV48+AV50+AV51</f>
        <v>0</v>
      </c>
      <c r="AW482" s="714">
        <f>AW16+AW21+AW48+AW50+AW51+AW34</f>
        <v>46609.715499999998</v>
      </c>
      <c r="AX482" s="714">
        <f>AX16+AX21+AX48+AX50+AX51+AX34</f>
        <v>22000</v>
      </c>
      <c r="AY482" s="220"/>
    </row>
    <row r="483" spans="1:52" s="716" customFormat="1" ht="24.95" customHeight="1">
      <c r="A483" s="710">
        <f>B483-S483-T483</f>
        <v>0</v>
      </c>
      <c r="B483" s="711">
        <f>'[36]штат-розп'!K233</f>
        <v>46.5</v>
      </c>
      <c r="C483" s="712" t="s">
        <v>1427</v>
      </c>
      <c r="D483" s="713"/>
      <c r="E483" s="713"/>
      <c r="F483" s="713"/>
      <c r="G483" s="713"/>
      <c r="H483" s="709"/>
      <c r="I483" s="713"/>
      <c r="J483" s="709"/>
      <c r="K483" s="713"/>
      <c r="L483" s="713"/>
      <c r="M483" s="709"/>
      <c r="N483" s="713"/>
      <c r="O483" s="709"/>
      <c r="P483" s="713"/>
      <c r="Q483" s="713"/>
      <c r="R483" s="713"/>
      <c r="S483" s="714">
        <f>S121+S151+S175+S196+S221+S246+S275+S319+S348+S375+S392+S412+S435-S480</f>
        <v>37.75</v>
      </c>
      <c r="T483" s="714">
        <f>T121+T151+T175+T196+T221+T246+T275+T319+T348+T375+T392+T412+T435-T480</f>
        <v>8.75</v>
      </c>
      <c r="U483" s="714"/>
      <c r="V483" s="703"/>
      <c r="W483" s="714"/>
      <c r="X483" s="703"/>
      <c r="Y483" s="703"/>
      <c r="Z483" s="714"/>
      <c r="AA483" s="714"/>
      <c r="AB483" s="715">
        <f>AB121+AB151+AB175+AB196+AB221+AB246+AB275+AB319+AB348+AB375+AB392+AB412+AB435-AB480</f>
        <v>410534.83875</v>
      </c>
      <c r="AC483" s="715">
        <f>AC121+AC151+AC175+AC196+AC221+AC246+AC275+AC319+AC348+AC375+AC392+AC412+AC435-AC480</f>
        <v>513465.16125000012</v>
      </c>
      <c r="AD483" s="714"/>
      <c r="AE483" s="714"/>
      <c r="AF483" s="714"/>
      <c r="AG483" s="714"/>
      <c r="AH483" s="714"/>
      <c r="AI483" s="714"/>
      <c r="AJ483" s="714"/>
      <c r="AK483" s="714"/>
      <c r="AL483" s="714"/>
      <c r="AM483" s="714"/>
      <c r="AN483" s="714"/>
      <c r="AO483" s="714"/>
      <c r="AP483" s="714"/>
      <c r="AQ483" s="714"/>
      <c r="AR483" s="714"/>
      <c r="AS483" s="714"/>
      <c r="AT483" s="715">
        <f>AT121+AT151+AT175+AT196+AT221+AT246+AT275+AT319+AT348+AT375+AT392+AT412+AT435-AT480</f>
        <v>184848.47500000001</v>
      </c>
      <c r="AU483" s="715">
        <f>AU121+AU151+AU175+AU196+AU221+AU246+AU275+AU319+AU348+AU375+AU392+AU412+AU435-AU480</f>
        <v>50466.825000000004</v>
      </c>
      <c r="AV483" s="715">
        <f>AV121+AV151+AV175+AV196+AV221+AV246+AV275+AV319+AV348+AV375+AV392+AV412+AV435-AV480</f>
        <v>0</v>
      </c>
      <c r="AW483" s="715">
        <f>AW121+AW151+AW175+AW196+AW221+AW246+AW275+AW319+AW348+AW375+AW392+AW412+AW435-AW480</f>
        <v>279370.48749999993</v>
      </c>
      <c r="AX483" s="715">
        <f>AX121+AX151+AX175+AX196+AX221+AX246+AX275+AX319+AX348+AX375+AX392+AX412+AX435-AX480</f>
        <v>0</v>
      </c>
      <c r="AY483" s="220"/>
    </row>
    <row r="484" spans="1:52" s="716" customFormat="1" ht="24.95" customHeight="1">
      <c r="A484" s="710">
        <f>B484-S484-T484</f>
        <v>0</v>
      </c>
      <c r="B484" s="711">
        <f>'[36]штат-розп'!K234</f>
        <v>96.5</v>
      </c>
      <c r="C484" s="712" t="s">
        <v>1508</v>
      </c>
      <c r="D484" s="713"/>
      <c r="E484" s="713"/>
      <c r="F484" s="713"/>
      <c r="G484" s="713"/>
      <c r="H484" s="709"/>
      <c r="I484" s="713"/>
      <c r="J484" s="709"/>
      <c r="K484" s="713"/>
      <c r="L484" s="713"/>
      <c r="M484" s="709"/>
      <c r="N484" s="713"/>
      <c r="O484" s="709"/>
      <c r="P484" s="713"/>
      <c r="Q484" s="713"/>
      <c r="R484" s="713"/>
      <c r="S484" s="714">
        <f>S30+S136+S163+S183+S207+S231+S254+S285+S292+S333+S356+S368+S383+S398+S440+S446+S421</f>
        <v>94</v>
      </c>
      <c r="T484" s="714">
        <f>T30+T136+T163+T183+T207+T231+T254+T285+T292+T333+T356+T368+T383+T398+T440+T446+T421</f>
        <v>2.5</v>
      </c>
      <c r="U484" s="717"/>
      <c r="V484" s="698"/>
      <c r="W484" s="717"/>
      <c r="X484" s="698"/>
      <c r="Y484" s="698"/>
      <c r="Z484" s="717"/>
      <c r="AA484" s="717"/>
      <c r="AB484" s="715">
        <f>AB30+AB136+AB163+AB183+AB207+AB231+AB254+AB285+AB292+AB333+AB356+AB368+AB383+AB398+AB440+AB446+AB421</f>
        <v>784101.38124999998</v>
      </c>
      <c r="AC484" s="715">
        <f>AC30+AC136+AC163+AC183+AC207+AC231+AC254+AC285+AC292+AC333+AC356+AC368+AC383+AC398+AC440+AC446+AC421</f>
        <v>518648.61875000002</v>
      </c>
      <c r="AD484" s="717"/>
      <c r="AE484" s="717"/>
      <c r="AF484" s="717"/>
      <c r="AG484" s="717"/>
      <c r="AH484" s="717"/>
      <c r="AI484" s="717"/>
      <c r="AJ484" s="717"/>
      <c r="AK484" s="717"/>
      <c r="AL484" s="717"/>
      <c r="AM484" s="717"/>
      <c r="AN484" s="717"/>
      <c r="AO484" s="717"/>
      <c r="AP484" s="717"/>
      <c r="AQ484" s="717"/>
      <c r="AR484" s="717"/>
      <c r="AS484" s="717"/>
      <c r="AT484" s="715">
        <f>AT30+AT136+AT163+AT183+AT207+AT231+AT254+AT285+AT292+AT333+AT356+AT368+AT383+AT398+AT426+AT440+AT446</f>
        <v>500265.42500000005</v>
      </c>
      <c r="AU484" s="715">
        <f>AU30+AU136+AU163+AU183+AU207+AU231+AU254+AU285+AU292+AU333+AU356+AU368+AU383+AU398+AU426+AU440+AU446</f>
        <v>20910.2</v>
      </c>
      <c r="AV484" s="715">
        <f>AV30+AV136+AV163+AV183+AV207+AV231+AV254+AV285+AV292+AV333+AV356+AV368+AV383+AV398+AV426+AV440+AV446</f>
        <v>0</v>
      </c>
      <c r="AW484" s="715">
        <f>AW30+AW136+AW163+AW183+AW207+AW231+AW254+AW285+AW292+AW333+AW356+AW368+AW383+AW398+AW440+AW446+AW421</f>
        <v>552446.67500000005</v>
      </c>
      <c r="AX484" s="715">
        <f>AX30+AX136+AX163+AX183+AX207+AX231+AX254+AX285+AX292+AX333+AX356+AX368+AX383+AX398+AX440+AX446+AX421</f>
        <v>0</v>
      </c>
      <c r="AY484" s="220"/>
    </row>
    <row r="485" spans="1:52" s="716" customFormat="1" ht="38.25">
      <c r="A485" s="710">
        <f>B485-S485-T485</f>
        <v>0</v>
      </c>
      <c r="B485" s="711">
        <f>'[36]штат-розп'!K235</f>
        <v>45</v>
      </c>
      <c r="C485" s="712" t="s">
        <v>1509</v>
      </c>
      <c r="D485" s="713"/>
      <c r="E485" s="713"/>
      <c r="F485" s="713"/>
      <c r="G485" s="713"/>
      <c r="H485" s="709"/>
      <c r="I485" s="713"/>
      <c r="J485" s="709"/>
      <c r="K485" s="713"/>
      <c r="L485" s="713"/>
      <c r="M485" s="709"/>
      <c r="N485" s="713"/>
      <c r="O485" s="709"/>
      <c r="P485" s="713"/>
      <c r="Q485" s="713"/>
      <c r="R485" s="713"/>
      <c r="S485" s="714">
        <f>S170+S190+S214+S239+S258+S300+S306+S340+S363+S386+S429</f>
        <v>45</v>
      </c>
      <c r="T485" s="714">
        <f>T170+T190+T214+T239+T258+T300+T306+T340+T363+T386+T429</f>
        <v>0</v>
      </c>
      <c r="U485" s="714"/>
      <c r="V485" s="703"/>
      <c r="W485" s="714"/>
      <c r="X485" s="703"/>
      <c r="Y485" s="703"/>
      <c r="Z485" s="714"/>
      <c r="AA485" s="714"/>
      <c r="AB485" s="715">
        <f>AB170+AB190+AB214+AB239+AB258+AB300+AB306+AB340+AB363+AB386+AB429</f>
        <v>377811.3</v>
      </c>
      <c r="AC485" s="715">
        <f>AC170+AC190+AC214+AC239+AC258+AC300+AC306+AC340+AC363+AC386+AC429</f>
        <v>0</v>
      </c>
      <c r="AD485" s="714"/>
      <c r="AE485" s="714"/>
      <c r="AF485" s="714"/>
      <c r="AG485" s="714"/>
      <c r="AH485" s="714"/>
      <c r="AI485" s="714"/>
      <c r="AJ485" s="714"/>
      <c r="AK485" s="714"/>
      <c r="AL485" s="714"/>
      <c r="AM485" s="714"/>
      <c r="AN485" s="714"/>
      <c r="AO485" s="714"/>
      <c r="AP485" s="714"/>
      <c r="AQ485" s="714"/>
      <c r="AR485" s="714"/>
      <c r="AS485" s="714"/>
      <c r="AT485" s="715">
        <f>AT170+AT190+AT214+AT239+AT258+AT300+AT306+AT340+AT363+AT386+AT429</f>
        <v>174343</v>
      </c>
      <c r="AU485" s="715">
        <f>AU170+AU190+AU214+AU239+AU258+AU300+AU306+AU340+AU363+AU386+AU429</f>
        <v>22620</v>
      </c>
      <c r="AV485" s="715">
        <f>AV170+AV190+AV214+AV239+AV258+AV300+AV306+AV340+AV363+AV386+AV429</f>
        <v>0</v>
      </c>
      <c r="AW485" s="715">
        <f>AW170+AW190+AW214+AW239+AW258+AW300+AW306+AW340+AW363+AW386+AW429</f>
        <v>178113</v>
      </c>
      <c r="AX485" s="715">
        <f>AX170+AX190+AX214+AX239+AX258+AX300+AX306+AX340+AX363+AX386+AX429</f>
        <v>0</v>
      </c>
      <c r="AY485" s="220"/>
    </row>
    <row r="486" spans="1:52" s="716" customFormat="1" ht="24.95" customHeight="1">
      <c r="A486" s="710">
        <f>B486-S486-T486</f>
        <v>0</v>
      </c>
      <c r="B486" s="711">
        <f>'[36]штат-розп'!K236</f>
        <v>46.5</v>
      </c>
      <c r="C486" s="712" t="s">
        <v>1326</v>
      </c>
      <c r="D486" s="713"/>
      <c r="E486" s="713"/>
      <c r="F486" s="713"/>
      <c r="G486" s="713"/>
      <c r="H486" s="709"/>
      <c r="I486" s="713"/>
      <c r="J486" s="709"/>
      <c r="K486" s="713"/>
      <c r="L486" s="713"/>
      <c r="M486" s="709"/>
      <c r="N486" s="713"/>
      <c r="O486" s="709"/>
      <c r="P486" s="713"/>
      <c r="Q486" s="713"/>
      <c r="R486" s="713"/>
      <c r="S486" s="714">
        <f>S18+S22+S23+S24+S25+S26+S29+S31+S46+S53+S54+S55+S56+S57+S58+S60+S61+S62+S63+S65+S66+S69+S70+S71+S72+S73+S75+S76+S77+S78+S79+S80+S83+S84+S85+S86+S87+S88+S89+S90+S91+S92+S93+S426+S35+S67+S68</f>
        <v>42.5</v>
      </c>
      <c r="T486" s="714">
        <f>T18+T22+T23+T24+T25+T26+T29+T31+T46+T53+T54+T55+T56+T57+T58+T60+T61+T62+T63+T65+T66+T69+T70+T71+T72+T73+T75+T76+T77+T78+T79+T80+T83+T84+T85+T86+T87+T88+T89+T90+T91+T92+T93+T426+T35+T81</f>
        <v>4</v>
      </c>
      <c r="U486" s="714"/>
      <c r="V486" s="703"/>
      <c r="W486" s="714"/>
      <c r="X486" s="703"/>
      <c r="Y486" s="703"/>
      <c r="Z486" s="714"/>
      <c r="AA486" s="714"/>
      <c r="AB486" s="714">
        <f>AB18+AB22+AB23+AB24+AB25+AB26+AB29+AB31+AB46+AB53+AB54+AB55+AB56+AB57+AB58+AB60+AB61+AB62+AB63+AB65+AB66+AB69+AB70+AB71+AB72+AB73+AB75+AB76+AB77+AB78+AB79+AB80+AB83+AB84+AB85+AB86+AB87+AB88+AB89+AB90+AB91+AB92+AB93+AB426+AB35+AB67+AB68+AB81</f>
        <v>373278</v>
      </c>
      <c r="AC486" s="714">
        <f>AC18+AC22+AC23+AC24+AC25+AC26+AC29+AC31+AC46+AC53+AC54+AC55+AC56+AC57+AC58+AC60+AC61+AC62+AC63+AC65+AC66+AC69+AC70+AC71+AC72+AC73+AC75+AC76+AC77+AC78+AC79+AC80+AC83+AC84+AC85+AC86+AC87+AC88+AC89+AC90+AC91+AC92+AC93+AC426+AC35+AC67+AC68+AC81</f>
        <v>0</v>
      </c>
      <c r="AD486" s="714"/>
      <c r="AE486" s="714"/>
      <c r="AF486" s="714"/>
      <c r="AG486" s="714"/>
      <c r="AH486" s="714"/>
      <c r="AI486" s="714"/>
      <c r="AJ486" s="714"/>
      <c r="AK486" s="714"/>
      <c r="AL486" s="714"/>
      <c r="AM486" s="714"/>
      <c r="AN486" s="714"/>
      <c r="AO486" s="714"/>
      <c r="AP486" s="714"/>
      <c r="AQ486" s="714"/>
      <c r="AR486" s="714"/>
      <c r="AS486" s="714"/>
      <c r="AT486" s="715">
        <f>AT18+AT22+AT23+AT24+AT25+AT26+AT29+AT31+AT46+AT53+AT54+AT55+AT56+AT57+AT58+AT60+AT61+AT62+AT63+AT65+AT66+AT69+AT70+AT71+AT72+AT73+AT75+AT76+AT77+AT78+AT79+AT80+AT83+AT84+AT85+AT86+AT87+AT88+AT89+AT90+AT91+AT93</f>
        <v>165847.1</v>
      </c>
      <c r="AU486" s="715">
        <f>AU18+AU22+AU23+AU24+AU25+AU26+AU29+AU31+AU46+AU53+AU54+AU55+AU56+AU57+AU58+AU60+AU61+AU62+AU63+AU65+AU66+AU69+AU70+AU71+AU72+AU73+AU75+AU76+AU77+AU78+AU79+AU80+AU83+AU84+AU85+AU86+AU87+AU88+AU89+AU90+AU91+AU93</f>
        <v>35760.300000000003</v>
      </c>
      <c r="AV486" s="715">
        <f>AV18+AV22+AV23+AV24+AV25+AV26+AV29+AV31+AV46+AV53+AV54+AV55+AV56+AV57+AV58+AV60+AV61+AV62+AV63+AV65+AV66+AV69+AV70+AV71+AV72+AV73+AV75+AV76+AV77+AV78+AV79+AV80+AV83+AV84+AV85+AV86+AV87+AV88+AV89+AV90+AV91+AV93</f>
        <v>0</v>
      </c>
      <c r="AW486" s="714">
        <f>AW18+AW22+AW23+AW24+AW25+AW26+AW29+AW31+AW46+AW53+AW54+AW55+AW56+AW57+AW58+AW60+AW61+AW62+AW63+AW65+AW66+AW69+AW70+AW71+AW72+AW73+AW75+AW76+AW77+AW78+AW79+AW80+AW83+AW84+AW85+AW86+AW87+AW88+AW89+AW90+AW91+AW92+AW93+AW426+AW35+AW67+AW68+AW81</f>
        <v>193165.40000000002</v>
      </c>
      <c r="AX486" s="714">
        <f>AX18+AX22+AX23+AX24+AX25+AX26+AX29+AX31+AX46+AX53+AX54+AX55+AX56+AX57+AX58+AX60+AX61+AX62+AX63+AX65+AX66+AX69+AX70+AX71+AX72+AX73+AX75+AX76+AX77+AX78+AX79+AX80+AX83+AX84+AX85+AX86+AX87+AX88+AX89+AX90+AX91+AX92+AX93+AX426+AX35+AX67+AX68+AX81</f>
        <v>77000</v>
      </c>
      <c r="AY486" s="220"/>
    </row>
    <row r="487" spans="1:52" s="716" customFormat="1" ht="24.95" customHeight="1">
      <c r="B487" s="713"/>
      <c r="C487" s="713"/>
      <c r="D487" s="713"/>
      <c r="E487" s="713"/>
      <c r="F487" s="713"/>
      <c r="G487" s="713"/>
      <c r="H487" s="709"/>
      <c r="I487" s="713"/>
      <c r="J487" s="709"/>
      <c r="K487" s="713"/>
      <c r="L487" s="713"/>
      <c r="M487" s="709"/>
      <c r="N487" s="713"/>
      <c r="O487" s="709"/>
      <c r="P487" s="713"/>
      <c r="Q487" s="713"/>
      <c r="R487" s="713"/>
      <c r="S487" s="714">
        <f>SUM(S479:S486)</f>
        <v>234.25</v>
      </c>
      <c r="T487" s="714">
        <f>SUM(T479:T486)</f>
        <v>16.25</v>
      </c>
      <c r="U487" s="714"/>
      <c r="V487" s="703"/>
      <c r="W487" s="714"/>
      <c r="X487" s="703"/>
      <c r="Y487" s="703"/>
      <c r="Z487" s="714"/>
      <c r="AA487" s="714"/>
      <c r="AB487" s="715">
        <f>SUM(AB479:AB486)</f>
        <v>2144898.4763749996</v>
      </c>
      <c r="AC487" s="715">
        <f>SUM(AC479:AC486)</f>
        <v>1087773.6705750001</v>
      </c>
      <c r="AD487" s="714"/>
      <c r="AE487" s="714"/>
      <c r="AF487" s="714"/>
      <c r="AG487" s="714"/>
      <c r="AH487" s="714"/>
      <c r="AI487" s="714"/>
      <c r="AJ487" s="714"/>
      <c r="AK487" s="714"/>
      <c r="AL487" s="714"/>
      <c r="AM487" s="714"/>
      <c r="AN487" s="714"/>
      <c r="AO487" s="714"/>
      <c r="AP487" s="714"/>
      <c r="AQ487" s="714"/>
      <c r="AR487" s="714"/>
      <c r="AS487" s="714"/>
      <c r="AT487" s="715">
        <f>SUM(AT479:AT486)</f>
        <v>1170622.2192500001</v>
      </c>
      <c r="AU487" s="715">
        <f>SUM(AU479:AU486)</f>
        <v>154268.73149999999</v>
      </c>
      <c r="AV487" s="715">
        <f>SUM(AV479:AV486)</f>
        <v>0</v>
      </c>
      <c r="AW487" s="715">
        <f>SUM(AW479:AW486)</f>
        <v>1360321.0617499999</v>
      </c>
      <c r="AX487" s="715">
        <f>SUM(AX479:AX486)</f>
        <v>99000</v>
      </c>
      <c r="AY487" s="220"/>
    </row>
    <row r="488" spans="1:52" s="241" customFormat="1" ht="38.25">
      <c r="B488" s="223"/>
      <c r="C488" s="224"/>
      <c r="D488" s="223"/>
      <c r="E488" s="223"/>
      <c r="F488" s="223"/>
      <c r="G488" s="223"/>
      <c r="H488" s="718"/>
      <c r="I488" s="223"/>
      <c r="J488" s="718"/>
      <c r="K488" s="223"/>
      <c r="L488" s="223"/>
      <c r="M488" s="718"/>
      <c r="N488" s="223"/>
      <c r="O488" s="718"/>
      <c r="P488" s="223"/>
      <c r="Q488" s="223"/>
      <c r="R488" s="223"/>
      <c r="S488" s="239">
        <f>S487+T487</f>
        <v>250.5</v>
      </c>
      <c r="T488" s="239"/>
      <c r="U488" s="223"/>
      <c r="V488" s="718"/>
      <c r="W488" s="223"/>
      <c r="X488" s="718"/>
      <c r="Y488" s="718"/>
      <c r="Z488" s="223"/>
      <c r="AA488" s="223"/>
      <c r="AB488" s="223"/>
      <c r="AC488" s="240"/>
      <c r="AD488" s="240"/>
      <c r="AE488" s="223"/>
      <c r="AF488" s="223"/>
      <c r="AG488" s="240"/>
      <c r="AH488" s="223"/>
      <c r="AI488" s="240"/>
      <c r="AJ488" s="719"/>
      <c r="AK488" s="719"/>
      <c r="AL488" s="719"/>
      <c r="AM488" s="719"/>
      <c r="AN488" s="719"/>
      <c r="AO488" s="240"/>
      <c r="AP488" s="240"/>
      <c r="AQ488" s="240"/>
      <c r="AR488" s="240"/>
      <c r="AS488" s="240"/>
      <c r="AT488" s="240"/>
      <c r="AU488" s="719"/>
      <c r="AV488" s="719"/>
      <c r="AW488" s="719"/>
      <c r="AX488" s="719"/>
      <c r="AY488" s="719"/>
      <c r="AZ488" s="719"/>
    </row>
    <row r="489" spans="1:52" s="241" customFormat="1" ht="38.25">
      <c r="B489" s="223"/>
      <c r="C489" s="871"/>
      <c r="D489" s="872"/>
      <c r="E489" s="872"/>
      <c r="F489" s="872"/>
      <c r="G489" s="872"/>
      <c r="H489" s="873"/>
      <c r="I489" s="872"/>
      <c r="J489" s="873"/>
      <c r="K489" s="223"/>
      <c r="L489" s="223"/>
      <c r="M489" s="718"/>
      <c r="N489" s="223"/>
      <c r="O489" s="718"/>
      <c r="P489" s="223"/>
      <c r="Q489" s="223"/>
      <c r="R489" s="223"/>
      <c r="S489" s="239"/>
      <c r="T489" s="239"/>
      <c r="U489" s="223"/>
      <c r="V489" s="718"/>
      <c r="W489" s="223"/>
      <c r="X489" s="718"/>
      <c r="Y489" s="718"/>
      <c r="Z489" s="223"/>
      <c r="AA489" s="223"/>
      <c r="AB489" s="720"/>
      <c r="AC489" s="720">
        <f>AC16+AC17+AC18+AC32+AC46+AC48+AC50+AC51+AC439</f>
        <v>11165.029500000001</v>
      </c>
      <c r="AD489" s="240"/>
      <c r="AE489" s="223"/>
      <c r="AF489" s="223"/>
      <c r="AG489" s="240"/>
      <c r="AH489" s="223"/>
      <c r="AI489" s="240"/>
      <c r="AJ489" s="719"/>
      <c r="AK489" s="719"/>
      <c r="AL489" s="719"/>
      <c r="AM489" s="719"/>
      <c r="AN489" s="719"/>
      <c r="AO489" s="240"/>
      <c r="AP489" s="240"/>
      <c r="AQ489" s="240"/>
      <c r="AR489" s="240"/>
      <c r="AS489" s="240"/>
      <c r="AT489" s="240"/>
    </row>
    <row r="490" spans="1:52" s="69" customFormat="1" ht="44.25">
      <c r="B490" s="225"/>
      <c r="C490" s="226" t="s">
        <v>1279</v>
      </c>
      <c r="D490" s="227"/>
      <c r="E490" s="228" t="s">
        <v>1310</v>
      </c>
      <c r="F490" s="214"/>
      <c r="G490" s="214"/>
      <c r="H490" s="721"/>
      <c r="I490" s="214"/>
      <c r="J490" s="722"/>
      <c r="K490" s="214"/>
      <c r="L490" s="213"/>
      <c r="M490" s="723"/>
      <c r="N490" s="213"/>
      <c r="O490" s="723"/>
      <c r="P490" s="213"/>
      <c r="Q490" s="213"/>
      <c r="R490" s="213"/>
      <c r="S490" s="213"/>
      <c r="T490" s="213"/>
      <c r="U490" s="965"/>
      <c r="V490" s="965"/>
      <c r="W490" s="965"/>
      <c r="X490" s="723"/>
      <c r="Y490" s="723"/>
      <c r="Z490" s="213"/>
      <c r="AA490" s="213"/>
      <c r="AB490" s="213"/>
      <c r="AC490" s="724"/>
      <c r="AD490" s="724"/>
      <c r="AE490" s="233"/>
      <c r="AF490" s="233"/>
      <c r="AG490" s="724"/>
      <c r="AH490" s="233"/>
      <c r="AI490" s="725"/>
      <c r="AJ490" s="725"/>
      <c r="AK490" s="725"/>
      <c r="AL490" s="725"/>
      <c r="AM490" s="725"/>
      <c r="AN490" s="725"/>
      <c r="AO490" s="237"/>
      <c r="AP490" s="237"/>
      <c r="AQ490" s="237"/>
      <c r="AR490" s="237"/>
      <c r="AS490" s="237"/>
      <c r="AT490" s="725"/>
      <c r="AU490" s="726"/>
      <c r="AV490" s="726"/>
    </row>
    <row r="491" spans="1:52" s="69" customFormat="1" ht="44.25">
      <c r="B491" s="225"/>
      <c r="C491" s="226" t="s">
        <v>1220</v>
      </c>
      <c r="D491" s="227"/>
      <c r="E491" s="228" t="s">
        <v>1735</v>
      </c>
      <c r="F491" s="214"/>
      <c r="G491" s="214"/>
      <c r="H491" s="721"/>
      <c r="I491" s="214"/>
      <c r="J491" s="727"/>
      <c r="K491" s="214"/>
      <c r="L491" s="213"/>
      <c r="M491" s="723"/>
      <c r="N491" s="215"/>
      <c r="O491" s="728"/>
      <c r="P491" s="215"/>
      <c r="Q491" s="215"/>
      <c r="R491" s="215"/>
      <c r="S491" s="215"/>
      <c r="T491" s="215"/>
      <c r="U491" s="215"/>
      <c r="V491" s="728"/>
      <c r="W491" s="215"/>
      <c r="X491" s="723"/>
      <c r="Y491" s="723"/>
      <c r="Z491" s="213"/>
      <c r="AA491" s="213"/>
      <c r="AB491" s="213"/>
      <c r="AC491" s="724"/>
      <c r="AD491" s="724"/>
      <c r="AE491" s="233"/>
      <c r="AF491" s="233"/>
      <c r="AG491" s="724"/>
      <c r="AH491" s="233"/>
      <c r="AI491" s="238"/>
      <c r="AJ491" s="238"/>
      <c r="AK491" s="238"/>
      <c r="AL491" s="238"/>
      <c r="AM491" s="238"/>
      <c r="AN491" s="238"/>
      <c r="AO491" s="237"/>
      <c r="AP491" s="237"/>
      <c r="AQ491" s="237"/>
      <c r="AR491" s="237"/>
      <c r="AS491" s="237"/>
      <c r="AT491" s="238"/>
      <c r="AU491" s="729"/>
      <c r="AV491" s="726"/>
    </row>
    <row r="492" spans="1:52" s="69" customFormat="1" ht="44.25">
      <c r="B492" s="225"/>
      <c r="C492" s="226" t="s">
        <v>1221</v>
      </c>
      <c r="D492" s="227"/>
      <c r="E492" s="228" t="s">
        <v>119</v>
      </c>
      <c r="F492" s="214"/>
      <c r="G492" s="214"/>
      <c r="H492" s="721"/>
      <c r="I492" s="216"/>
      <c r="J492" s="727"/>
      <c r="K492" s="214"/>
      <c r="L492" s="213"/>
      <c r="M492" s="723"/>
      <c r="N492" s="214"/>
      <c r="O492" s="721"/>
      <c r="P492" s="216"/>
      <c r="Q492" s="161"/>
      <c r="R492" s="214"/>
      <c r="S492" s="214"/>
      <c r="T492" s="216"/>
      <c r="U492" s="161"/>
      <c r="V492" s="721"/>
      <c r="W492" s="213"/>
      <c r="X492" s="723"/>
      <c r="Y492" s="723"/>
      <c r="Z492" s="213"/>
      <c r="AA492" s="213"/>
      <c r="AB492" s="213"/>
      <c r="AC492" s="724"/>
      <c r="AD492" s="724"/>
      <c r="AE492" s="233"/>
      <c r="AF492" s="233"/>
      <c r="AG492" s="724"/>
      <c r="AH492" s="233"/>
      <c r="AI492" s="234"/>
      <c r="AJ492" s="234"/>
      <c r="AK492" s="234"/>
      <c r="AL492" s="234"/>
      <c r="AM492" s="234"/>
      <c r="AN492" s="234"/>
      <c r="AO492" s="234"/>
      <c r="AP492" s="234"/>
      <c r="AQ492" s="234"/>
      <c r="AR492" s="234"/>
      <c r="AS492" s="234"/>
      <c r="AT492" s="234"/>
      <c r="AU492" s="730"/>
      <c r="AV492" s="730"/>
      <c r="AW492" s="731"/>
    </row>
    <row r="493" spans="1:52" s="69" customFormat="1" ht="44.25">
      <c r="B493" s="229"/>
      <c r="C493" s="230"/>
      <c r="D493" s="231"/>
      <c r="E493" s="232" t="s">
        <v>1736</v>
      </c>
      <c r="F493" s="159"/>
      <c r="G493" s="159"/>
      <c r="H493" s="732"/>
      <c r="I493" s="132"/>
      <c r="J493" s="727"/>
      <c r="K493" s="159"/>
      <c r="L493" s="158"/>
      <c r="M493" s="733"/>
      <c r="N493" s="159"/>
      <c r="O493" s="732"/>
      <c r="P493" s="132"/>
      <c r="Q493" s="160"/>
      <c r="R493" s="159"/>
      <c r="S493" s="159"/>
      <c r="T493" s="132"/>
      <c r="U493" s="160"/>
      <c r="V493" s="732"/>
      <c r="W493" s="158"/>
      <c r="X493" s="733"/>
      <c r="Y493" s="733"/>
      <c r="Z493" s="158"/>
      <c r="AA493" s="158"/>
      <c r="AB493" s="158"/>
      <c r="AC493" s="734"/>
      <c r="AD493" s="735"/>
      <c r="AE493" s="149"/>
      <c r="AF493" s="149"/>
      <c r="AG493" s="735"/>
      <c r="AH493" s="149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736"/>
      <c r="AV493" s="736"/>
    </row>
    <row r="494" spans="1:52" s="69" customFormat="1" ht="44.25">
      <c r="B494" s="229"/>
      <c r="C494" s="230"/>
      <c r="D494" s="231"/>
      <c r="E494" s="232" t="s">
        <v>120</v>
      </c>
      <c r="F494" s="159"/>
      <c r="G494" s="159"/>
      <c r="H494" s="732"/>
      <c r="I494" s="132"/>
      <c r="J494" s="722"/>
      <c r="K494" s="159"/>
      <c r="L494" s="158"/>
      <c r="M494" s="733"/>
      <c r="N494" s="159"/>
      <c r="O494" s="732"/>
      <c r="P494" s="132"/>
      <c r="Q494" s="161"/>
      <c r="R494" s="159"/>
      <c r="S494" s="159"/>
      <c r="T494" s="132"/>
      <c r="U494" s="161"/>
      <c r="V494" s="732"/>
      <c r="W494" s="158"/>
      <c r="X494" s="733"/>
      <c r="Y494" s="733"/>
      <c r="Z494" s="158"/>
      <c r="AA494" s="158"/>
      <c r="AB494" s="158"/>
      <c r="AC494" s="735"/>
      <c r="AD494" s="735"/>
      <c r="AE494" s="149"/>
      <c r="AF494" s="149"/>
      <c r="AG494" s="735"/>
      <c r="AH494" s="149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1"/>
      <c r="AU494" s="151"/>
      <c r="AV494" s="150"/>
      <c r="AW494" s="150"/>
    </row>
    <row r="495" spans="1:52" s="71" customFormat="1" ht="44.25">
      <c r="B495" s="229"/>
      <c r="C495" s="230"/>
      <c r="D495" s="231"/>
      <c r="E495" s="232" t="s">
        <v>1737</v>
      </c>
      <c r="F495" s="159"/>
      <c r="G495" s="159"/>
      <c r="H495" s="732"/>
      <c r="I495" s="132"/>
      <c r="J495" s="722"/>
      <c r="K495" s="159"/>
      <c r="L495" s="158"/>
      <c r="M495" s="733"/>
      <c r="N495" s="159"/>
      <c r="O495" s="732"/>
      <c r="P495" s="132"/>
      <c r="Q495" s="161"/>
      <c r="R495" s="159"/>
      <c r="S495" s="159"/>
      <c r="T495" s="132"/>
      <c r="U495" s="161"/>
      <c r="V495" s="732"/>
      <c r="W495" s="158"/>
      <c r="X495" s="733"/>
      <c r="Y495" s="733"/>
      <c r="Z495" s="158"/>
      <c r="AA495" s="158"/>
      <c r="AB495" s="158"/>
      <c r="AC495" s="735"/>
      <c r="AD495" s="735"/>
      <c r="AE495" s="149"/>
      <c r="AF495" s="149"/>
      <c r="AG495" s="735"/>
      <c r="AH495" s="149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2"/>
      <c r="AU495" s="152"/>
      <c r="AV495" s="150"/>
      <c r="AW495" s="150"/>
    </row>
    <row r="496" spans="1:52" s="72" customFormat="1" ht="44.25">
      <c r="B496" s="229"/>
      <c r="C496" s="230"/>
      <c r="D496" s="231"/>
      <c r="E496" s="232" t="s">
        <v>1738</v>
      </c>
      <c r="F496" s="159"/>
      <c r="G496" s="159"/>
      <c r="H496" s="732"/>
      <c r="I496" s="132"/>
      <c r="J496" s="722"/>
      <c r="K496" s="159"/>
      <c r="L496" s="158"/>
      <c r="M496" s="733"/>
      <c r="N496" s="159"/>
      <c r="O496" s="732"/>
      <c r="P496" s="132"/>
      <c r="Q496" s="161"/>
      <c r="R496" s="159"/>
      <c r="S496" s="159"/>
      <c r="T496" s="132"/>
      <c r="U496" s="161"/>
      <c r="V496" s="732"/>
      <c r="W496" s="158"/>
      <c r="X496" s="733"/>
      <c r="Y496" s="733"/>
      <c r="Z496" s="158"/>
      <c r="AA496" s="158"/>
      <c r="AB496" s="158"/>
      <c r="AC496" s="735"/>
      <c r="AD496" s="735"/>
      <c r="AE496" s="149"/>
      <c r="AF496" s="149"/>
      <c r="AG496" s="735"/>
      <c r="AH496" s="149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2"/>
      <c r="AU496" s="152"/>
      <c r="AV496" s="150"/>
      <c r="AW496" s="150"/>
    </row>
    <row r="497" spans="2:49" s="69" customFormat="1" ht="44.25">
      <c r="B497" s="229"/>
      <c r="C497" s="230"/>
      <c r="D497" s="231"/>
      <c r="E497" s="232" t="s">
        <v>1739</v>
      </c>
      <c r="F497" s="159"/>
      <c r="G497" s="159"/>
      <c r="H497" s="732"/>
      <c r="I497" s="132"/>
      <c r="J497" s="722"/>
      <c r="K497" s="159"/>
      <c r="L497" s="158"/>
      <c r="M497" s="733"/>
      <c r="N497" s="159"/>
      <c r="O497" s="732"/>
      <c r="P497" s="132"/>
      <c r="Q497" s="161"/>
      <c r="R497" s="159"/>
      <c r="S497" s="159"/>
      <c r="T497" s="132"/>
      <c r="U497" s="161"/>
      <c r="V497" s="732"/>
      <c r="W497" s="158"/>
      <c r="X497" s="733"/>
      <c r="Y497" s="733"/>
      <c r="Z497" s="158"/>
      <c r="AA497" s="158"/>
      <c r="AB497" s="158"/>
      <c r="AC497" s="735"/>
      <c r="AD497" s="735"/>
      <c r="AE497" s="149"/>
      <c r="AF497" s="149"/>
      <c r="AG497" s="735"/>
      <c r="AH497" s="149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2"/>
      <c r="AU497" s="152"/>
      <c r="AV497" s="150"/>
      <c r="AW497" s="150"/>
    </row>
    <row r="498" spans="2:49" s="69" customFormat="1" ht="44.25">
      <c r="B498" s="229"/>
      <c r="C498" s="230"/>
      <c r="D498" s="231"/>
      <c r="E498" s="232" t="s">
        <v>1740</v>
      </c>
      <c r="F498" s="159"/>
      <c r="G498" s="159"/>
      <c r="H498" s="732"/>
      <c r="I498" s="132"/>
      <c r="J498" s="722"/>
      <c r="K498" s="159"/>
      <c r="L498" s="158"/>
      <c r="M498" s="733"/>
      <c r="N498" s="159"/>
      <c r="O498" s="732"/>
      <c r="P498" s="132"/>
      <c r="Q498" s="161"/>
      <c r="R498" s="159"/>
      <c r="S498" s="159"/>
      <c r="T498" s="132"/>
      <c r="U498" s="161"/>
      <c r="V498" s="732"/>
      <c r="W498" s="158"/>
      <c r="X498" s="733"/>
      <c r="Y498" s="733"/>
      <c r="Z498" s="158"/>
      <c r="AA498" s="158"/>
      <c r="AB498" s="158"/>
      <c r="AC498" s="735"/>
      <c r="AD498" s="735"/>
      <c r="AE498" s="149"/>
      <c r="AF498" s="149"/>
      <c r="AG498" s="735"/>
      <c r="AH498" s="149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2"/>
      <c r="AU498" s="152"/>
      <c r="AV498" s="150"/>
      <c r="AW498" s="150"/>
    </row>
    <row r="499" spans="2:49" s="69" customFormat="1" ht="44.25">
      <c r="B499" s="229"/>
      <c r="C499" s="230"/>
      <c r="D499" s="231"/>
      <c r="E499" s="232" t="s">
        <v>1741</v>
      </c>
      <c r="F499" s="159"/>
      <c r="G499" s="159"/>
      <c r="H499" s="732"/>
      <c r="I499" s="132"/>
      <c r="J499" s="722"/>
      <c r="K499" s="159"/>
      <c r="L499" s="158"/>
      <c r="M499" s="733"/>
      <c r="N499" s="159"/>
      <c r="O499" s="732"/>
      <c r="P499" s="132"/>
      <c r="Q499" s="161"/>
      <c r="R499" s="159"/>
      <c r="S499" s="159"/>
      <c r="T499" s="132"/>
      <c r="U499" s="161"/>
      <c r="V499" s="732"/>
      <c r="W499" s="158"/>
      <c r="X499" s="733"/>
      <c r="Y499" s="733"/>
      <c r="Z499" s="158"/>
      <c r="AA499" s="158"/>
      <c r="AB499" s="158"/>
      <c r="AC499" s="735"/>
      <c r="AD499" s="735"/>
      <c r="AE499" s="149"/>
      <c r="AF499" s="149"/>
      <c r="AG499" s="735"/>
      <c r="AH499" s="149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2"/>
      <c r="AU499" s="152"/>
      <c r="AV499" s="150"/>
      <c r="AW499" s="150"/>
    </row>
    <row r="500" spans="2:49" s="69" customFormat="1" ht="44.25">
      <c r="B500" s="229"/>
      <c r="C500" s="230"/>
      <c r="D500" s="874"/>
      <c r="E500" s="875"/>
      <c r="F500" s="159"/>
      <c r="G500" s="159"/>
      <c r="H500" s="732"/>
      <c r="I500" s="132"/>
      <c r="J500" s="722"/>
      <c r="K500" s="159"/>
      <c r="L500" s="158"/>
      <c r="M500" s="733"/>
      <c r="N500" s="159"/>
      <c r="O500" s="732"/>
      <c r="P500" s="132"/>
      <c r="Q500" s="161"/>
      <c r="R500" s="159"/>
      <c r="S500" s="159"/>
      <c r="T500" s="132"/>
      <c r="U500" s="161"/>
      <c r="V500" s="732"/>
      <c r="W500" s="158"/>
      <c r="X500" s="733"/>
      <c r="Y500" s="733"/>
      <c r="Z500" s="158"/>
      <c r="AA500" s="158"/>
      <c r="AB500" s="158"/>
      <c r="AC500" s="735"/>
      <c r="AD500" s="735"/>
      <c r="AE500" s="149"/>
      <c r="AF500" s="149"/>
      <c r="AG500" s="735"/>
      <c r="AH500" s="149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2"/>
      <c r="AU500" s="152"/>
      <c r="AV500" s="150"/>
      <c r="AW500" s="150"/>
    </row>
    <row r="501" spans="2:49" s="69" customFormat="1">
      <c r="B501" s="83"/>
      <c r="C501" s="135"/>
      <c r="D501" s="177"/>
      <c r="E501" s="159"/>
      <c r="F501" s="159"/>
      <c r="G501" s="159"/>
      <c r="H501" s="732"/>
      <c r="I501" s="132"/>
      <c r="J501" s="722"/>
      <c r="K501" s="159"/>
      <c r="L501" s="158"/>
      <c r="M501" s="733"/>
      <c r="N501" s="159"/>
      <c r="O501" s="732"/>
      <c r="P501" s="132"/>
      <c r="Q501" s="161"/>
      <c r="R501" s="159"/>
      <c r="S501" s="162"/>
      <c r="T501" s="132"/>
      <c r="U501" s="161"/>
      <c r="V501" s="732"/>
      <c r="W501" s="158"/>
      <c r="X501" s="733"/>
      <c r="Y501" s="733"/>
      <c r="Z501" s="158"/>
      <c r="AA501" s="158"/>
      <c r="AB501" s="158"/>
      <c r="AC501" s="735"/>
      <c r="AD501" s="735"/>
      <c r="AE501" s="149"/>
      <c r="AF501" s="149"/>
      <c r="AG501" s="735"/>
      <c r="AH501" s="149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2"/>
      <c r="AU501" s="152"/>
      <c r="AV501" s="150"/>
      <c r="AW501" s="150"/>
    </row>
    <row r="502" spans="2:49" s="69" customFormat="1">
      <c r="B502" s="83"/>
      <c r="C502" s="135"/>
      <c r="D502" s="177"/>
      <c r="E502" s="159"/>
      <c r="F502" s="159"/>
      <c r="G502" s="159"/>
      <c r="H502" s="732"/>
      <c r="I502" s="132"/>
      <c r="J502" s="722"/>
      <c r="K502" s="159"/>
      <c r="L502" s="158"/>
      <c r="M502" s="733"/>
      <c r="N502" s="159"/>
      <c r="O502" s="732"/>
      <c r="P502" s="132"/>
      <c r="Q502" s="161"/>
      <c r="R502" s="159"/>
      <c r="S502" s="159"/>
      <c r="T502" s="132"/>
      <c r="U502" s="161"/>
      <c r="V502" s="732"/>
      <c r="W502" s="158"/>
      <c r="X502" s="733"/>
      <c r="Y502" s="733"/>
      <c r="Z502" s="158"/>
      <c r="AA502" s="158"/>
      <c r="AB502" s="158"/>
      <c r="AC502" s="735"/>
      <c r="AD502" s="735"/>
      <c r="AE502" s="149"/>
      <c r="AF502" s="149"/>
      <c r="AG502" s="735"/>
      <c r="AH502" s="149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2"/>
      <c r="AU502" s="152"/>
      <c r="AV502" s="150"/>
      <c r="AW502" s="150"/>
    </row>
    <row r="503" spans="2:49" s="69" customFormat="1">
      <c r="B503" s="83"/>
      <c r="C503" s="135"/>
      <c r="D503" s="177"/>
      <c r="E503" s="159"/>
      <c r="F503" s="159"/>
      <c r="G503" s="159"/>
      <c r="H503" s="732"/>
      <c r="I503" s="132"/>
      <c r="J503" s="722"/>
      <c r="K503" s="159"/>
      <c r="L503" s="158"/>
      <c r="M503" s="733"/>
      <c r="N503" s="159"/>
      <c r="O503" s="732"/>
      <c r="P503" s="132"/>
      <c r="Q503" s="161"/>
      <c r="R503" s="159"/>
      <c r="S503" s="737">
        <f>S40+S72+S94+S108+S110+S118+S147+S186+S199+S243+S263+S267+S268+S269+S310+S311+S346+S347+S434+S438+S445</f>
        <v>39</v>
      </c>
      <c r="T503" s="737">
        <f>T40+T72+T94+T108+T110+T118+T147+T186+T199+T243+T263+T267+T268+T269+T310+T311+T346+T347+T434+T438+T445</f>
        <v>5</v>
      </c>
      <c r="U503" s="737"/>
      <c r="V503" s="737"/>
      <c r="W503" s="737"/>
      <c r="X503" s="737"/>
      <c r="Y503" s="737"/>
      <c r="Z503" s="737"/>
      <c r="AA503" s="737"/>
      <c r="AB503" s="876">
        <f>AB40+AB72+AB94+AB108+AB110+AB118+AB147+AB186+AB199+AB243+AB263+AB267+AB268+AB269+AB310+AB311+AB346+AB347+AB434+AB438+AB445</f>
        <v>361066.49374999997</v>
      </c>
      <c r="AC503" s="735"/>
      <c r="AD503" s="735"/>
      <c r="AE503" s="149"/>
      <c r="AF503" s="149"/>
      <c r="AG503" s="735"/>
      <c r="AH503" s="149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2"/>
      <c r="AU503" s="152"/>
      <c r="AV503" s="150"/>
      <c r="AW503" s="150"/>
    </row>
    <row r="504" spans="2:49" s="69" customFormat="1">
      <c r="B504" s="83"/>
      <c r="C504" s="135"/>
      <c r="D504" s="177"/>
      <c r="E504" s="159"/>
      <c r="F504" s="159"/>
      <c r="G504" s="159"/>
      <c r="H504" s="732"/>
      <c r="I504" s="132"/>
      <c r="J504" s="722"/>
      <c r="K504" s="159"/>
      <c r="L504" s="158"/>
      <c r="M504" s="733"/>
      <c r="N504" s="159"/>
      <c r="O504" s="732"/>
      <c r="P504" s="132"/>
      <c r="Q504" s="161"/>
      <c r="R504" s="159"/>
      <c r="S504" s="159"/>
      <c r="T504" s="132"/>
      <c r="U504" s="161"/>
      <c r="V504" s="732"/>
      <c r="W504" s="158"/>
      <c r="X504" s="733"/>
      <c r="Y504" s="733"/>
      <c r="Z504" s="158"/>
      <c r="AA504" s="158"/>
      <c r="AB504" s="158"/>
      <c r="AC504" s="735"/>
      <c r="AD504" s="735"/>
      <c r="AE504" s="149"/>
      <c r="AF504" s="149"/>
      <c r="AG504" s="735"/>
      <c r="AH504" s="149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2"/>
      <c r="AU504" s="152"/>
      <c r="AV504" s="150"/>
      <c r="AW504" s="150"/>
    </row>
    <row r="505" spans="2:49" s="69" customFormat="1">
      <c r="B505" s="83"/>
      <c r="C505" s="135"/>
      <c r="D505" s="177"/>
      <c r="E505" s="159"/>
      <c r="F505" s="159"/>
      <c r="G505" s="159"/>
      <c r="H505" s="732"/>
      <c r="I505" s="132"/>
      <c r="J505" s="722"/>
      <c r="K505" s="159"/>
      <c r="L505" s="158"/>
      <c r="M505" s="733"/>
      <c r="N505" s="159"/>
      <c r="O505" s="732"/>
      <c r="P505" s="132"/>
      <c r="Q505" s="161"/>
      <c r="R505" s="159"/>
      <c r="S505" s="159"/>
      <c r="T505" s="132"/>
      <c r="U505" s="161"/>
      <c r="V505" s="732"/>
      <c r="W505" s="158"/>
      <c r="X505" s="733"/>
      <c r="Y505" s="733"/>
      <c r="Z505" s="158"/>
      <c r="AA505" s="158"/>
      <c r="AB505" s="877">
        <f>AB447</f>
        <v>2144898.4763750001</v>
      </c>
      <c r="AC505" s="735"/>
      <c r="AD505" s="735"/>
      <c r="AE505" s="149"/>
      <c r="AF505" s="149"/>
      <c r="AG505" s="735"/>
      <c r="AH505" s="149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2"/>
      <c r="AU505" s="152"/>
      <c r="AV505" s="150"/>
      <c r="AW505" s="150"/>
    </row>
    <row r="506" spans="2:49" s="69" customFormat="1">
      <c r="B506" s="83"/>
      <c r="C506" s="135"/>
      <c r="D506" s="177"/>
      <c r="E506" s="159"/>
      <c r="F506" s="159"/>
      <c r="G506" s="159"/>
      <c r="H506" s="732"/>
      <c r="I506" s="132"/>
      <c r="J506" s="722"/>
      <c r="K506" s="159"/>
      <c r="L506" s="158"/>
      <c r="M506" s="733"/>
      <c r="N506" s="159"/>
      <c r="O506" s="732"/>
      <c r="P506" s="132"/>
      <c r="Q506" s="161"/>
      <c r="R506" s="159"/>
      <c r="S506" s="159"/>
      <c r="T506" s="132"/>
      <c r="U506" s="161"/>
      <c r="V506" s="732"/>
      <c r="W506" s="158"/>
      <c r="X506" s="733"/>
      <c r="Y506" s="733"/>
      <c r="Z506" s="158"/>
      <c r="AA506" s="158"/>
      <c r="AB506" s="158">
        <f>AB505*22%</f>
        <v>471877.66480250005</v>
      </c>
      <c r="AC506" s="735"/>
      <c r="AD506" s="735"/>
      <c r="AE506" s="149"/>
      <c r="AF506" s="149"/>
      <c r="AG506" s="735"/>
      <c r="AH506" s="149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2"/>
      <c r="AU506" s="152"/>
      <c r="AV506" s="150"/>
      <c r="AW506" s="150"/>
    </row>
    <row r="507" spans="2:49" s="69" customFormat="1">
      <c r="B507" s="83"/>
      <c r="C507" s="135"/>
      <c r="D507" s="177"/>
      <c r="E507" s="159"/>
      <c r="F507" s="159"/>
      <c r="G507" s="159"/>
      <c r="H507" s="732"/>
      <c r="I507" s="132"/>
      <c r="J507" s="722"/>
      <c r="K507" s="159"/>
      <c r="L507" s="158"/>
      <c r="M507" s="733"/>
      <c r="N507" s="159"/>
      <c r="O507" s="732"/>
      <c r="P507" s="132"/>
      <c r="Q507" s="161"/>
      <c r="R507" s="159"/>
      <c r="S507" s="159"/>
      <c r="T507" s="132"/>
      <c r="U507" s="161"/>
      <c r="V507" s="732"/>
      <c r="W507" s="158"/>
      <c r="X507" s="733"/>
      <c r="Y507" s="733"/>
      <c r="Z507" s="158"/>
      <c r="AA507" s="158"/>
      <c r="AB507" s="877">
        <f>AB505+AB506</f>
        <v>2616776.1411775001</v>
      </c>
      <c r="AC507" s="735"/>
      <c r="AD507" s="735"/>
      <c r="AE507" s="149"/>
      <c r="AF507" s="149"/>
      <c r="AG507" s="735"/>
      <c r="AH507" s="149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2"/>
      <c r="AU507" s="152"/>
      <c r="AV507" s="150"/>
      <c r="AW507" s="150"/>
    </row>
    <row r="508" spans="2:49" s="69" customFormat="1">
      <c r="B508" s="83"/>
      <c r="C508" s="135"/>
      <c r="D508" s="177"/>
      <c r="E508" s="159"/>
      <c r="F508" s="159"/>
      <c r="G508" s="159"/>
      <c r="H508" s="732"/>
      <c r="I508" s="132"/>
      <c r="J508" s="722"/>
      <c r="K508" s="159"/>
      <c r="L508" s="158"/>
      <c r="M508" s="733"/>
      <c r="N508" s="159"/>
      <c r="O508" s="732"/>
      <c r="P508" s="132"/>
      <c r="Q508" s="161"/>
      <c r="R508" s="159"/>
      <c r="S508" s="159"/>
      <c r="T508" s="132"/>
      <c r="U508" s="161"/>
      <c r="V508" s="732"/>
      <c r="W508" s="158"/>
      <c r="X508" s="733"/>
      <c r="Y508" s="733"/>
      <c r="Z508" s="158"/>
      <c r="AA508" s="158"/>
      <c r="AB508" s="158"/>
      <c r="AC508" s="735"/>
      <c r="AD508" s="735"/>
      <c r="AE508" s="149"/>
      <c r="AF508" s="149"/>
      <c r="AG508" s="735"/>
      <c r="AH508" s="149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2"/>
      <c r="AU508" s="152"/>
      <c r="AV508" s="150"/>
      <c r="AW508" s="150"/>
    </row>
    <row r="509" spans="2:49" s="69" customFormat="1">
      <c r="B509" s="83"/>
      <c r="C509" s="135"/>
      <c r="D509" s="177"/>
      <c r="E509" s="159"/>
      <c r="F509" s="159"/>
      <c r="G509" s="159"/>
      <c r="H509" s="732"/>
      <c r="I509" s="132"/>
      <c r="J509" s="722"/>
      <c r="K509" s="159"/>
      <c r="L509" s="158"/>
      <c r="M509" s="733"/>
      <c r="N509" s="159"/>
      <c r="O509" s="732"/>
      <c r="P509" s="132"/>
      <c r="Q509" s="161"/>
      <c r="R509" s="159"/>
      <c r="S509" s="159"/>
      <c r="T509" s="132"/>
      <c r="U509" s="161"/>
      <c r="V509" s="732"/>
      <c r="W509" s="158"/>
      <c r="X509" s="733"/>
      <c r="Y509" s="733"/>
      <c r="Z509" s="158"/>
      <c r="AA509" s="158"/>
      <c r="AB509" s="158"/>
      <c r="AC509" s="735"/>
      <c r="AD509" s="735"/>
      <c r="AE509" s="149"/>
      <c r="AF509" s="149"/>
      <c r="AG509" s="735"/>
      <c r="AH509" s="149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2"/>
      <c r="AU509" s="152"/>
      <c r="AV509" s="150"/>
      <c r="AW509" s="150"/>
    </row>
    <row r="510" spans="2:49" s="69" customFormat="1">
      <c r="B510" s="83"/>
      <c r="C510" s="135"/>
      <c r="D510" s="177"/>
      <c r="E510" s="159"/>
      <c r="F510" s="159"/>
      <c r="G510" s="159"/>
      <c r="H510" s="732"/>
      <c r="I510" s="132"/>
      <c r="J510" s="722"/>
      <c r="K510" s="159"/>
      <c r="L510" s="158"/>
      <c r="M510" s="733"/>
      <c r="N510" s="159"/>
      <c r="O510" s="732"/>
      <c r="P510" s="132"/>
      <c r="Q510" s="161"/>
      <c r="R510" s="159"/>
      <c r="S510" s="159"/>
      <c r="T510" s="132"/>
      <c r="U510" s="161"/>
      <c r="V510" s="732"/>
      <c r="W510" s="158"/>
      <c r="X510" s="733"/>
      <c r="Y510" s="733"/>
      <c r="Z510" s="158"/>
      <c r="AA510" s="158"/>
      <c r="AB510" s="158"/>
      <c r="AC510" s="735"/>
      <c r="AD510" s="735"/>
      <c r="AE510" s="149"/>
      <c r="AF510" s="149"/>
      <c r="AG510" s="735"/>
      <c r="AH510" s="149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2"/>
      <c r="AU510" s="152"/>
      <c r="AV510" s="150"/>
      <c r="AW510" s="150"/>
    </row>
    <row r="511" spans="2:49" s="69" customFormat="1">
      <c r="B511" s="83"/>
      <c r="C511" s="135"/>
      <c r="D511" s="177"/>
      <c r="E511" s="159"/>
      <c r="F511" s="159"/>
      <c r="G511" s="159"/>
      <c r="H511" s="732"/>
      <c r="I511" s="132"/>
      <c r="J511" s="722"/>
      <c r="K511" s="159"/>
      <c r="L511" s="158"/>
      <c r="M511" s="733"/>
      <c r="N511" s="159"/>
      <c r="O511" s="732"/>
      <c r="P511" s="132"/>
      <c r="Q511" s="161"/>
      <c r="R511" s="159"/>
      <c r="S511" s="159"/>
      <c r="T511" s="132"/>
      <c r="U511" s="161"/>
      <c r="V511" s="732"/>
      <c r="W511" s="158"/>
      <c r="X511" s="733"/>
      <c r="Y511" s="733"/>
      <c r="Z511" s="158"/>
      <c r="AA511" s="158"/>
      <c r="AB511" s="158"/>
      <c r="AC511" s="735"/>
      <c r="AD511" s="735"/>
      <c r="AE511" s="149"/>
      <c r="AF511" s="149"/>
      <c r="AG511" s="735"/>
      <c r="AH511" s="149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2"/>
      <c r="AU511" s="152"/>
      <c r="AV511" s="150"/>
      <c r="AW511" s="150"/>
    </row>
    <row r="512" spans="2:49" s="69" customFormat="1">
      <c r="B512" s="83"/>
      <c r="C512" s="135"/>
      <c r="D512" s="177"/>
      <c r="E512" s="159"/>
      <c r="F512" s="159"/>
      <c r="G512" s="159"/>
      <c r="H512" s="732"/>
      <c r="I512" s="132"/>
      <c r="J512" s="722"/>
      <c r="K512" s="159"/>
      <c r="L512" s="158"/>
      <c r="M512" s="733"/>
      <c r="N512" s="159"/>
      <c r="O512" s="732"/>
      <c r="P512" s="132"/>
      <c r="Q512" s="161"/>
      <c r="R512" s="159"/>
      <c r="S512" s="159"/>
      <c r="T512" s="132"/>
      <c r="U512" s="161"/>
      <c r="V512" s="732"/>
      <c r="W512" s="158"/>
      <c r="X512" s="733"/>
      <c r="Y512" s="733"/>
      <c r="Z512" s="158"/>
      <c r="AA512" s="158"/>
      <c r="AB512" s="158"/>
      <c r="AC512" s="735"/>
      <c r="AD512" s="735"/>
      <c r="AE512" s="149"/>
      <c r="AF512" s="149"/>
      <c r="AG512" s="735"/>
      <c r="AH512" s="149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2"/>
      <c r="AU512" s="152"/>
      <c r="AV512" s="150"/>
      <c r="AW512" s="150"/>
    </row>
    <row r="513" spans="2:49" s="69" customFormat="1">
      <c r="B513" s="83"/>
      <c r="C513" s="135"/>
      <c r="D513" s="177"/>
      <c r="E513" s="159"/>
      <c r="F513" s="159"/>
      <c r="G513" s="159"/>
      <c r="H513" s="732"/>
      <c r="I513" s="132"/>
      <c r="J513" s="722"/>
      <c r="K513" s="159"/>
      <c r="L513" s="158"/>
      <c r="M513" s="733"/>
      <c r="N513" s="159"/>
      <c r="O513" s="732"/>
      <c r="P513" s="132"/>
      <c r="Q513" s="161"/>
      <c r="R513" s="159"/>
      <c r="S513" s="159"/>
      <c r="T513" s="132"/>
      <c r="U513" s="161"/>
      <c r="V513" s="732"/>
      <c r="W513" s="158"/>
      <c r="X513" s="733"/>
      <c r="Y513" s="733"/>
      <c r="Z513" s="158"/>
      <c r="AA513" s="158"/>
      <c r="AB513" s="158"/>
      <c r="AC513" s="735"/>
      <c r="AD513" s="735"/>
      <c r="AE513" s="149"/>
      <c r="AF513" s="149"/>
      <c r="AG513" s="735"/>
      <c r="AH513" s="149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2"/>
      <c r="AU513" s="152"/>
      <c r="AV513" s="150"/>
      <c r="AW513" s="150"/>
    </row>
    <row r="514" spans="2:49" s="69" customFormat="1">
      <c r="B514" s="83"/>
      <c r="C514" s="135"/>
      <c r="D514" s="177"/>
      <c r="E514" s="159"/>
      <c r="F514" s="159"/>
      <c r="G514" s="159"/>
      <c r="H514" s="732"/>
      <c r="I514" s="132"/>
      <c r="J514" s="722"/>
      <c r="K514" s="159"/>
      <c r="L514" s="158"/>
      <c r="M514" s="733"/>
      <c r="N514" s="159"/>
      <c r="O514" s="732"/>
      <c r="P514" s="132"/>
      <c r="Q514" s="161"/>
      <c r="R514" s="159"/>
      <c r="S514" s="159"/>
      <c r="T514" s="132"/>
      <c r="U514" s="161"/>
      <c r="V514" s="732"/>
      <c r="W514" s="158"/>
      <c r="X514" s="733"/>
      <c r="Y514" s="733"/>
      <c r="Z514" s="158"/>
      <c r="AA514" s="158"/>
      <c r="AB514" s="158"/>
      <c r="AC514" s="735"/>
      <c r="AD514" s="735"/>
      <c r="AE514" s="149"/>
      <c r="AF514" s="149"/>
      <c r="AG514" s="735"/>
      <c r="AH514" s="149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2"/>
      <c r="AU514" s="152"/>
      <c r="AV514" s="150"/>
      <c r="AW514" s="150"/>
    </row>
    <row r="515" spans="2:49" s="69" customFormat="1">
      <c r="B515" s="83"/>
      <c r="C515" s="135"/>
      <c r="D515" s="177"/>
      <c r="E515" s="159"/>
      <c r="F515" s="159"/>
      <c r="G515" s="159"/>
      <c r="H515" s="732"/>
      <c r="I515" s="132"/>
      <c r="J515" s="722"/>
      <c r="K515" s="159"/>
      <c r="L515" s="158"/>
      <c r="M515" s="733"/>
      <c r="N515" s="159"/>
      <c r="O515" s="732"/>
      <c r="P515" s="132"/>
      <c r="Q515" s="161"/>
      <c r="R515" s="159"/>
      <c r="S515" s="159"/>
      <c r="T515" s="132"/>
      <c r="U515" s="161"/>
      <c r="V515" s="732"/>
      <c r="W515" s="158"/>
      <c r="X515" s="733"/>
      <c r="Y515" s="733"/>
      <c r="Z515" s="158"/>
      <c r="AA515" s="158"/>
      <c r="AB515" s="158"/>
      <c r="AC515" s="735"/>
      <c r="AD515" s="735"/>
      <c r="AE515" s="149"/>
      <c r="AF515" s="149"/>
      <c r="AG515" s="735"/>
      <c r="AH515" s="149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2"/>
      <c r="AU515" s="152"/>
      <c r="AV515" s="150"/>
      <c r="AW515" s="150"/>
    </row>
    <row r="516" spans="2:49" s="69" customFormat="1">
      <c r="B516" s="83"/>
      <c r="C516" s="135"/>
      <c r="D516" s="177"/>
      <c r="E516" s="159"/>
      <c r="F516" s="159"/>
      <c r="G516" s="159"/>
      <c r="H516" s="732"/>
      <c r="I516" s="132"/>
      <c r="J516" s="722"/>
      <c r="K516" s="159"/>
      <c r="L516" s="158"/>
      <c r="M516" s="733"/>
      <c r="N516" s="159"/>
      <c r="O516" s="732"/>
      <c r="P516" s="132"/>
      <c r="Q516" s="161"/>
      <c r="R516" s="159"/>
      <c r="S516" s="159"/>
      <c r="T516" s="132"/>
      <c r="U516" s="161"/>
      <c r="V516" s="732"/>
      <c r="W516" s="158"/>
      <c r="X516" s="733"/>
      <c r="Y516" s="733"/>
      <c r="Z516" s="158"/>
      <c r="AA516" s="158"/>
      <c r="AB516" s="158"/>
      <c r="AC516" s="735"/>
      <c r="AD516" s="735"/>
      <c r="AE516" s="149"/>
      <c r="AF516" s="149"/>
      <c r="AG516" s="735"/>
      <c r="AH516" s="149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2"/>
      <c r="AU516" s="152"/>
      <c r="AV516" s="150"/>
      <c r="AW516" s="150"/>
    </row>
    <row r="517" spans="2:49" s="69" customFormat="1">
      <c r="B517" s="83"/>
      <c r="C517" s="135"/>
      <c r="D517" s="177"/>
      <c r="E517" s="159"/>
      <c r="F517" s="159"/>
      <c r="G517" s="159"/>
      <c r="H517" s="732"/>
      <c r="I517" s="132"/>
      <c r="J517" s="722"/>
      <c r="K517" s="159"/>
      <c r="L517" s="158"/>
      <c r="M517" s="733"/>
      <c r="N517" s="159"/>
      <c r="O517" s="732"/>
      <c r="P517" s="132"/>
      <c r="Q517" s="161"/>
      <c r="R517" s="159"/>
      <c r="S517" s="159"/>
      <c r="T517" s="132"/>
      <c r="U517" s="161"/>
      <c r="V517" s="732"/>
      <c r="W517" s="158"/>
      <c r="X517" s="733"/>
      <c r="Y517" s="733"/>
      <c r="Z517" s="158"/>
      <c r="AA517" s="158"/>
      <c r="AB517" s="158"/>
      <c r="AC517" s="735"/>
      <c r="AD517" s="735"/>
      <c r="AE517" s="149"/>
      <c r="AF517" s="149"/>
      <c r="AG517" s="735"/>
      <c r="AH517" s="149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2"/>
      <c r="AU517" s="152"/>
      <c r="AV517" s="150"/>
      <c r="AW517" s="150"/>
    </row>
    <row r="518" spans="2:49" s="69" customFormat="1">
      <c r="B518" s="83"/>
      <c r="C518" s="135"/>
      <c r="D518" s="177"/>
      <c r="E518" s="159"/>
      <c r="F518" s="159"/>
      <c r="G518" s="159"/>
      <c r="H518" s="732"/>
      <c r="I518" s="132"/>
      <c r="J518" s="722"/>
      <c r="K518" s="159"/>
      <c r="L518" s="158"/>
      <c r="M518" s="733"/>
      <c r="N518" s="159"/>
      <c r="O518" s="732"/>
      <c r="P518" s="132"/>
      <c r="Q518" s="161"/>
      <c r="R518" s="159"/>
      <c r="T518" s="132"/>
      <c r="U518" s="161"/>
      <c r="V518" s="732"/>
      <c r="W518" s="158"/>
      <c r="X518" s="733"/>
      <c r="Y518" s="733"/>
      <c r="Z518" s="158"/>
      <c r="AA518" s="158"/>
      <c r="AB518" s="158"/>
      <c r="AC518" s="735"/>
      <c r="AD518" s="735"/>
      <c r="AE518" s="149"/>
      <c r="AF518" s="149"/>
      <c r="AG518" s="735"/>
      <c r="AH518" s="149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2"/>
      <c r="AU518" s="152"/>
      <c r="AV518" s="150"/>
      <c r="AW518" s="150"/>
    </row>
    <row r="519" spans="2:49" s="69" customFormat="1">
      <c r="B519" s="83"/>
      <c r="C519" s="135"/>
      <c r="D519" s="177"/>
      <c r="E519" s="159"/>
      <c r="F519" s="159"/>
      <c r="G519" s="159"/>
      <c r="H519" s="732"/>
      <c r="I519" s="132"/>
      <c r="J519" s="722"/>
      <c r="K519" s="159"/>
      <c r="L519" s="158"/>
      <c r="M519" s="733"/>
      <c r="N519" s="159"/>
      <c r="O519" s="732"/>
      <c r="P519" s="132"/>
      <c r="Q519" s="161"/>
      <c r="R519" s="159"/>
      <c r="S519" s="159"/>
      <c r="T519" s="132"/>
      <c r="U519" s="161"/>
      <c r="V519" s="732"/>
      <c r="W519" s="158"/>
      <c r="X519" s="733"/>
      <c r="Y519" s="733"/>
      <c r="Z519" s="158"/>
      <c r="AA519" s="158"/>
      <c r="AB519" s="158"/>
      <c r="AC519" s="735"/>
      <c r="AD519" s="735"/>
      <c r="AE519" s="149"/>
      <c r="AF519" s="149"/>
      <c r="AG519" s="735"/>
      <c r="AH519" s="149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2"/>
      <c r="AU519" s="152"/>
      <c r="AV519" s="150"/>
      <c r="AW519" s="150"/>
    </row>
    <row r="520" spans="2:49" s="71" customFormat="1">
      <c r="B520" s="83"/>
      <c r="C520" s="135"/>
      <c r="D520" s="177"/>
      <c r="E520" s="159"/>
      <c r="F520" s="159"/>
      <c r="G520" s="159"/>
      <c r="H520" s="732"/>
      <c r="I520" s="132"/>
      <c r="J520" s="722"/>
      <c r="K520" s="159"/>
      <c r="L520" s="158"/>
      <c r="M520" s="733"/>
      <c r="N520" s="159"/>
      <c r="O520" s="732"/>
      <c r="P520" s="132"/>
      <c r="Q520" s="161"/>
      <c r="R520" s="159"/>
      <c r="S520" s="159"/>
      <c r="T520" s="132"/>
      <c r="U520" s="161"/>
      <c r="V520" s="732"/>
      <c r="W520" s="158"/>
      <c r="X520" s="733"/>
      <c r="Y520" s="733"/>
      <c r="Z520" s="158"/>
      <c r="AA520" s="158"/>
      <c r="AB520" s="158"/>
      <c r="AC520" s="735"/>
      <c r="AD520" s="735"/>
      <c r="AE520" s="149"/>
      <c r="AF520" s="149"/>
      <c r="AG520" s="735"/>
      <c r="AH520" s="149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2"/>
      <c r="AU520" s="152"/>
      <c r="AV520" s="150"/>
      <c r="AW520" s="150"/>
    </row>
    <row r="521" spans="2:49" s="66" customFormat="1" ht="38.25">
      <c r="B521" s="63"/>
      <c r="C521" s="136"/>
      <c r="D521" s="174"/>
      <c r="E521" s="156"/>
      <c r="F521" s="156"/>
      <c r="G521" s="156"/>
      <c r="H521" s="671"/>
      <c r="I521" s="156"/>
      <c r="J521" s="671"/>
      <c r="K521" s="156"/>
      <c r="L521" s="156"/>
      <c r="M521" s="671"/>
      <c r="N521" s="156"/>
      <c r="O521" s="671"/>
      <c r="P521" s="156"/>
      <c r="Q521" s="156"/>
      <c r="R521" s="156"/>
      <c r="S521" s="156"/>
      <c r="T521" s="156"/>
      <c r="U521" s="156"/>
      <c r="V521" s="671"/>
      <c r="W521" s="156"/>
      <c r="X521" s="671"/>
      <c r="Y521" s="671"/>
      <c r="Z521" s="156"/>
      <c r="AA521" s="156"/>
      <c r="AB521" s="156"/>
      <c r="AC521" s="738"/>
      <c r="AD521" s="738"/>
      <c r="AE521" s="138"/>
      <c r="AF521" s="138"/>
      <c r="AG521" s="738"/>
      <c r="AH521" s="138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</row>
    <row r="522" spans="2:49" s="66" customFormat="1" ht="38.25">
      <c r="B522" s="63"/>
      <c r="C522" s="136"/>
      <c r="D522" s="174"/>
      <c r="E522" s="156"/>
      <c r="F522" s="156"/>
      <c r="G522" s="156"/>
      <c r="H522" s="671"/>
      <c r="I522" s="156"/>
      <c r="J522" s="671"/>
      <c r="K522" s="156"/>
      <c r="L522" s="156"/>
      <c r="M522" s="671"/>
      <c r="N522" s="156"/>
      <c r="O522" s="671"/>
      <c r="P522" s="156"/>
      <c r="Q522" s="156"/>
      <c r="R522" s="156"/>
      <c r="T522" s="156"/>
      <c r="U522" s="156"/>
      <c r="V522" s="671"/>
      <c r="W522" s="156"/>
      <c r="X522" s="671"/>
      <c r="Y522" s="671"/>
      <c r="Z522" s="156"/>
      <c r="AA522" s="156"/>
      <c r="AB522" s="156"/>
      <c r="AC522" s="738"/>
      <c r="AD522" s="738"/>
      <c r="AE522" s="138"/>
      <c r="AF522" s="138"/>
      <c r="AG522" s="738"/>
      <c r="AH522" s="138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</row>
    <row r="523" spans="2:49" s="66" customFormat="1" ht="38.25">
      <c r="B523" s="63"/>
      <c r="C523" s="136"/>
      <c r="D523" s="174"/>
      <c r="E523" s="156"/>
      <c r="F523" s="156"/>
      <c r="G523" s="156"/>
      <c r="H523" s="671"/>
      <c r="I523" s="156"/>
      <c r="J523" s="671"/>
      <c r="K523" s="156"/>
      <c r="L523" s="156"/>
      <c r="M523" s="671"/>
      <c r="N523" s="156"/>
      <c r="O523" s="671"/>
      <c r="P523" s="156"/>
      <c r="Q523" s="156"/>
      <c r="R523" s="156"/>
      <c r="S523" s="156"/>
      <c r="T523" s="156"/>
      <c r="U523" s="156"/>
      <c r="V523" s="671"/>
      <c r="W523" s="156"/>
      <c r="X523" s="671"/>
      <c r="Y523" s="671"/>
      <c r="Z523" s="156"/>
      <c r="AA523" s="156"/>
      <c r="AB523" s="156"/>
      <c r="AC523" s="738"/>
      <c r="AD523" s="738"/>
      <c r="AE523" s="138"/>
      <c r="AF523" s="138"/>
      <c r="AG523" s="738"/>
      <c r="AH523" s="138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</row>
    <row r="524" spans="2:49" s="64" customFormat="1">
      <c r="B524" s="63"/>
      <c r="C524" s="136"/>
      <c r="D524" s="174"/>
      <c r="E524" s="156"/>
      <c r="F524" s="156"/>
      <c r="G524" s="156"/>
      <c r="H524" s="671"/>
      <c r="I524" s="156"/>
      <c r="J524" s="671"/>
      <c r="K524" s="156"/>
      <c r="L524" s="156"/>
      <c r="M524" s="671"/>
      <c r="N524" s="156"/>
      <c r="O524" s="671"/>
      <c r="P524" s="156"/>
      <c r="Q524" s="156"/>
      <c r="R524" s="156"/>
      <c r="S524" s="156"/>
      <c r="T524" s="156"/>
      <c r="U524" s="156"/>
      <c r="V524" s="671"/>
      <c r="W524" s="156"/>
      <c r="X524" s="671"/>
      <c r="Y524" s="671"/>
      <c r="Z524" s="156"/>
      <c r="AA524" s="156"/>
      <c r="AB524" s="156"/>
      <c r="AC524" s="738"/>
      <c r="AD524" s="738"/>
      <c r="AE524" s="138"/>
      <c r="AF524" s="138"/>
      <c r="AG524" s="738"/>
      <c r="AH524" s="138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</row>
    <row r="525" spans="2:49" s="64" customFormat="1">
      <c r="B525" s="63"/>
      <c r="C525" s="136"/>
      <c r="D525" s="174"/>
      <c r="E525" s="156"/>
      <c r="F525" s="156"/>
      <c r="G525" s="156"/>
      <c r="H525" s="671"/>
      <c r="I525" s="156"/>
      <c r="J525" s="671"/>
      <c r="K525" s="156"/>
      <c r="L525" s="156"/>
      <c r="M525" s="671"/>
      <c r="N525" s="156"/>
      <c r="O525" s="671"/>
      <c r="P525" s="156"/>
      <c r="Q525" s="156"/>
      <c r="R525" s="156"/>
      <c r="S525" s="156"/>
      <c r="T525" s="156"/>
      <c r="U525" s="156"/>
      <c r="V525" s="671"/>
      <c r="W525" s="156"/>
      <c r="X525" s="671"/>
      <c r="Y525" s="671"/>
      <c r="Z525" s="156"/>
      <c r="AA525" s="156"/>
      <c r="AB525" s="156"/>
      <c r="AC525" s="738"/>
      <c r="AD525" s="738"/>
      <c r="AE525" s="138"/>
      <c r="AF525" s="138"/>
      <c r="AG525" s="738"/>
      <c r="AH525" s="138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</row>
    <row r="526" spans="2:49" s="64" customFormat="1">
      <c r="B526" s="63"/>
      <c r="C526" s="136"/>
      <c r="D526" s="174"/>
      <c r="E526" s="156"/>
      <c r="F526" s="156"/>
      <c r="G526" s="156"/>
      <c r="H526" s="671"/>
      <c r="I526" s="156"/>
      <c r="J526" s="671"/>
      <c r="K526" s="156"/>
      <c r="L526" s="156"/>
      <c r="M526" s="671"/>
      <c r="N526" s="156"/>
      <c r="O526" s="671"/>
      <c r="P526" s="156"/>
      <c r="Q526" s="156"/>
      <c r="R526" s="156"/>
      <c r="S526" s="156"/>
      <c r="T526" s="156"/>
      <c r="U526" s="156"/>
      <c r="V526" s="671"/>
      <c r="W526" s="156"/>
      <c r="X526" s="671"/>
      <c r="Y526" s="671"/>
      <c r="Z526" s="156"/>
      <c r="AA526" s="156"/>
      <c r="AB526" s="156"/>
      <c r="AC526" s="738"/>
      <c r="AD526" s="738"/>
      <c r="AE526" s="138"/>
      <c r="AF526" s="138"/>
      <c r="AG526" s="738"/>
      <c r="AH526" s="138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</row>
    <row r="527" spans="2:49" s="64" customFormat="1">
      <c r="B527" s="63"/>
      <c r="C527" s="136"/>
      <c r="D527" s="174"/>
      <c r="E527" s="156"/>
      <c r="F527" s="156"/>
      <c r="G527" s="156"/>
      <c r="H527" s="671"/>
      <c r="I527" s="156"/>
      <c r="J527" s="671"/>
      <c r="K527" s="156"/>
      <c r="L527" s="156"/>
      <c r="M527" s="671"/>
      <c r="N527" s="156"/>
      <c r="O527" s="671"/>
      <c r="P527" s="156"/>
      <c r="Q527" s="156"/>
      <c r="R527" s="156"/>
      <c r="S527" s="156"/>
      <c r="T527" s="156"/>
      <c r="U527" s="156"/>
      <c r="V527" s="671"/>
      <c r="W527" s="156"/>
      <c r="X527" s="671"/>
      <c r="Y527" s="671"/>
      <c r="Z527" s="156"/>
      <c r="AA527" s="156"/>
      <c r="AB527" s="156"/>
      <c r="AC527" s="738"/>
      <c r="AD527" s="738"/>
      <c r="AE527" s="138"/>
      <c r="AF527" s="138"/>
      <c r="AG527" s="738"/>
      <c r="AH527" s="138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</row>
    <row r="528" spans="2:49" s="64" customFormat="1">
      <c r="B528" s="63"/>
      <c r="C528" s="136"/>
      <c r="D528" s="174"/>
      <c r="E528" s="156"/>
      <c r="F528" s="156"/>
      <c r="G528" s="156"/>
      <c r="H528" s="671"/>
      <c r="I528" s="156"/>
      <c r="J528" s="671"/>
      <c r="K528" s="156"/>
      <c r="L528" s="156"/>
      <c r="M528" s="671"/>
      <c r="N528" s="156"/>
      <c r="O528" s="671"/>
      <c r="P528" s="156"/>
      <c r="Q528" s="156"/>
      <c r="R528" s="156"/>
      <c r="S528" s="156"/>
      <c r="T528" s="156"/>
      <c r="U528" s="156"/>
      <c r="V528" s="671"/>
      <c r="W528" s="156"/>
      <c r="X528" s="671"/>
      <c r="Y528" s="671"/>
      <c r="Z528" s="156"/>
      <c r="AA528" s="156"/>
      <c r="AB528" s="156"/>
      <c r="AC528" s="738"/>
      <c r="AD528" s="738"/>
      <c r="AE528" s="138"/>
      <c r="AF528" s="138"/>
      <c r="AG528" s="738"/>
      <c r="AH528" s="138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</row>
    <row r="529" spans="2:49" s="64" customFormat="1">
      <c r="B529" s="63"/>
      <c r="C529" s="136"/>
      <c r="D529" s="174"/>
      <c r="E529" s="156"/>
      <c r="F529" s="156"/>
      <c r="G529" s="156"/>
      <c r="H529" s="671"/>
      <c r="I529" s="156"/>
      <c r="J529" s="671"/>
      <c r="K529" s="156"/>
      <c r="L529" s="156"/>
      <c r="M529" s="671"/>
      <c r="N529" s="156"/>
      <c r="O529" s="671"/>
      <c r="P529" s="156"/>
      <c r="Q529" s="156"/>
      <c r="R529" s="156"/>
      <c r="S529" s="156"/>
      <c r="T529" s="156"/>
      <c r="U529" s="156"/>
      <c r="V529" s="671"/>
      <c r="W529" s="156"/>
      <c r="X529" s="671"/>
      <c r="Y529" s="671"/>
      <c r="Z529" s="156"/>
      <c r="AA529" s="156"/>
      <c r="AB529" s="156"/>
      <c r="AC529" s="738"/>
      <c r="AD529" s="738"/>
      <c r="AE529" s="138"/>
      <c r="AF529" s="138"/>
      <c r="AG529" s="738"/>
      <c r="AH529" s="138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</row>
    <row r="530" spans="2:49" s="64" customFormat="1">
      <c r="B530" s="63"/>
      <c r="C530" s="136"/>
      <c r="D530" s="174"/>
      <c r="E530" s="156"/>
      <c r="F530" s="156"/>
      <c r="G530" s="156"/>
      <c r="H530" s="671"/>
      <c r="I530" s="156"/>
      <c r="J530" s="671"/>
      <c r="K530" s="156"/>
      <c r="L530" s="156"/>
      <c r="M530" s="671"/>
      <c r="N530" s="156"/>
      <c r="O530" s="671"/>
      <c r="P530" s="156"/>
      <c r="Q530" s="156"/>
      <c r="R530" s="156"/>
      <c r="S530" s="156"/>
      <c r="T530" s="156"/>
      <c r="U530" s="156"/>
      <c r="V530" s="671"/>
      <c r="W530" s="156"/>
      <c r="X530" s="671"/>
      <c r="Y530" s="671"/>
      <c r="Z530" s="156"/>
      <c r="AA530" s="156"/>
      <c r="AB530" s="156"/>
      <c r="AC530" s="738"/>
      <c r="AD530" s="738"/>
      <c r="AE530" s="138"/>
      <c r="AF530" s="138"/>
      <c r="AG530" s="738"/>
      <c r="AH530" s="138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</row>
    <row r="531" spans="2:49" s="64" customFormat="1">
      <c r="B531" s="63"/>
      <c r="C531" s="136"/>
      <c r="D531" s="174"/>
      <c r="E531" s="156"/>
      <c r="F531" s="156"/>
      <c r="G531" s="156"/>
      <c r="H531" s="671"/>
      <c r="I531" s="156"/>
      <c r="J531" s="671"/>
      <c r="K531" s="156"/>
      <c r="L531" s="156"/>
      <c r="M531" s="671"/>
      <c r="N531" s="156"/>
      <c r="O531" s="671"/>
      <c r="P531" s="156"/>
      <c r="Q531" s="156"/>
      <c r="R531" s="156"/>
      <c r="S531" s="156"/>
      <c r="T531" s="156"/>
      <c r="U531" s="156"/>
      <c r="V531" s="671"/>
      <c r="W531" s="156"/>
      <c r="X531" s="671"/>
      <c r="Y531" s="671"/>
      <c r="Z531" s="156"/>
      <c r="AA531" s="156"/>
      <c r="AB531" s="156"/>
      <c r="AC531" s="738"/>
      <c r="AD531" s="738"/>
      <c r="AE531" s="138"/>
      <c r="AF531" s="138"/>
      <c r="AG531" s="738"/>
      <c r="AH531" s="138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</row>
    <row r="532" spans="2:49" s="64" customFormat="1">
      <c r="B532" s="63"/>
      <c r="C532" s="136"/>
      <c r="D532" s="174"/>
      <c r="E532" s="156"/>
      <c r="F532" s="156"/>
      <c r="G532" s="156"/>
      <c r="H532" s="671"/>
      <c r="I532" s="156"/>
      <c r="J532" s="671"/>
      <c r="K532" s="156"/>
      <c r="L532" s="156"/>
      <c r="M532" s="671"/>
      <c r="N532" s="156"/>
      <c r="O532" s="671"/>
      <c r="P532" s="156"/>
      <c r="Q532" s="156"/>
      <c r="R532" s="156"/>
      <c r="S532" s="156"/>
      <c r="T532" s="156"/>
      <c r="U532" s="156"/>
      <c r="V532" s="671"/>
      <c r="W532" s="156"/>
      <c r="X532" s="671"/>
      <c r="Y532" s="671"/>
      <c r="Z532" s="156"/>
      <c r="AA532" s="156"/>
      <c r="AB532" s="156"/>
      <c r="AC532" s="738"/>
      <c r="AD532" s="738"/>
      <c r="AE532" s="138"/>
      <c r="AF532" s="138"/>
      <c r="AG532" s="738"/>
      <c r="AH532" s="138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</row>
    <row r="533" spans="2:49" s="64" customFormat="1">
      <c r="B533" s="63"/>
      <c r="C533" s="136"/>
      <c r="D533" s="174"/>
      <c r="E533" s="156"/>
      <c r="F533" s="156"/>
      <c r="G533" s="156"/>
      <c r="H533" s="671"/>
      <c r="I533" s="156"/>
      <c r="J533" s="671"/>
      <c r="K533" s="156"/>
      <c r="L533" s="156"/>
      <c r="M533" s="671"/>
      <c r="N533" s="156"/>
      <c r="O533" s="671"/>
      <c r="P533" s="156"/>
      <c r="Q533" s="156"/>
      <c r="R533" s="156"/>
      <c r="S533" s="156"/>
      <c r="T533" s="156"/>
      <c r="U533" s="156"/>
      <c r="V533" s="671"/>
      <c r="W533" s="156"/>
      <c r="X533" s="671"/>
      <c r="Y533" s="671"/>
      <c r="Z533" s="156"/>
      <c r="AA533" s="156"/>
      <c r="AB533" s="156"/>
      <c r="AC533" s="738"/>
      <c r="AD533" s="738"/>
      <c r="AE533" s="138"/>
      <c r="AF533" s="138"/>
      <c r="AG533" s="738"/>
      <c r="AH533" s="138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</row>
    <row r="534" spans="2:49" s="64" customFormat="1">
      <c r="B534" s="63"/>
      <c r="C534" s="136"/>
      <c r="D534" s="174"/>
      <c r="E534" s="156"/>
      <c r="F534" s="156"/>
      <c r="G534" s="156"/>
      <c r="H534" s="671"/>
      <c r="I534" s="156"/>
      <c r="J534" s="671"/>
      <c r="K534" s="156"/>
      <c r="L534" s="156"/>
      <c r="M534" s="671"/>
      <c r="N534" s="156"/>
      <c r="O534" s="671"/>
      <c r="P534" s="156"/>
      <c r="Q534" s="156"/>
      <c r="R534" s="156"/>
      <c r="S534" s="162">
        <f>S447+T447</f>
        <v>248.5</v>
      </c>
      <c r="T534" s="156"/>
      <c r="U534" s="156"/>
      <c r="V534" s="671"/>
      <c r="W534" s="156"/>
      <c r="X534" s="671"/>
      <c r="Y534" s="671"/>
      <c r="Z534" s="156"/>
      <c r="AA534" s="156"/>
      <c r="AB534" s="156"/>
      <c r="AC534" s="738"/>
      <c r="AD534" s="738"/>
      <c r="AE534" s="138"/>
      <c r="AF534" s="138"/>
      <c r="AG534" s="738"/>
      <c r="AH534" s="138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</row>
    <row r="535" spans="2:49" s="64" customFormat="1">
      <c r="B535" s="63"/>
      <c r="C535" s="136"/>
      <c r="D535" s="174"/>
      <c r="E535" s="156"/>
      <c r="F535" s="156"/>
      <c r="G535" s="156"/>
      <c r="H535" s="671"/>
      <c r="I535" s="156"/>
      <c r="J535" s="671"/>
      <c r="K535" s="156"/>
      <c r="L535" s="156"/>
      <c r="M535" s="671"/>
      <c r="N535" s="156"/>
      <c r="O535" s="671"/>
      <c r="P535" s="156"/>
      <c r="Q535" s="156"/>
      <c r="R535" s="156"/>
      <c r="S535" s="156"/>
      <c r="T535" s="156"/>
      <c r="U535" s="156"/>
      <c r="V535" s="671"/>
      <c r="W535" s="156"/>
      <c r="X535" s="671"/>
      <c r="Y535" s="671"/>
      <c r="Z535" s="156"/>
      <c r="AA535" s="156"/>
      <c r="AB535" s="156"/>
      <c r="AC535" s="738"/>
      <c r="AD535" s="738"/>
      <c r="AE535" s="138"/>
      <c r="AF535" s="138"/>
      <c r="AG535" s="738"/>
      <c r="AH535" s="138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</row>
    <row r="536" spans="2:49" s="64" customFormat="1">
      <c r="B536" s="63"/>
      <c r="C536" s="136"/>
      <c r="D536" s="174"/>
      <c r="E536" s="156"/>
      <c r="F536" s="156"/>
      <c r="G536" s="156"/>
      <c r="H536" s="671"/>
      <c r="I536" s="156"/>
      <c r="J536" s="671"/>
      <c r="K536" s="156"/>
      <c r="L536" s="156"/>
      <c r="M536" s="671"/>
      <c r="N536" s="156"/>
      <c r="O536" s="671"/>
      <c r="P536" s="156"/>
      <c r="Q536" s="156"/>
      <c r="R536" s="156"/>
      <c r="S536" s="156"/>
      <c r="T536" s="156"/>
      <c r="U536" s="156"/>
      <c r="V536" s="671"/>
      <c r="W536" s="156"/>
      <c r="X536" s="671"/>
      <c r="Y536" s="671"/>
      <c r="Z536" s="156"/>
      <c r="AA536" s="156"/>
      <c r="AB536" s="156"/>
      <c r="AC536" s="738"/>
      <c r="AD536" s="738"/>
      <c r="AE536" s="138"/>
      <c r="AF536" s="138"/>
      <c r="AG536" s="738"/>
      <c r="AH536" s="138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</row>
    <row r="537" spans="2:49" s="64" customFormat="1">
      <c r="B537" s="63"/>
      <c r="C537" s="136"/>
      <c r="D537" s="174"/>
      <c r="E537" s="156"/>
      <c r="F537" s="156"/>
      <c r="G537" s="156"/>
      <c r="H537" s="671"/>
      <c r="I537" s="156"/>
      <c r="J537" s="671"/>
      <c r="K537" s="156"/>
      <c r="L537" s="156"/>
      <c r="M537" s="671"/>
      <c r="N537" s="156"/>
      <c r="O537" s="671"/>
      <c r="P537" s="156"/>
      <c r="Q537" s="156"/>
      <c r="R537" s="156"/>
      <c r="S537" s="156"/>
      <c r="T537" s="156"/>
      <c r="U537" s="156"/>
      <c r="V537" s="671"/>
      <c r="W537" s="156"/>
      <c r="X537" s="671"/>
      <c r="Y537" s="671"/>
      <c r="Z537" s="156"/>
      <c r="AA537" s="156"/>
      <c r="AB537" s="156"/>
      <c r="AC537" s="738"/>
      <c r="AD537" s="738"/>
      <c r="AE537" s="138"/>
      <c r="AF537" s="138"/>
      <c r="AG537" s="738"/>
      <c r="AH537" s="138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</row>
    <row r="538" spans="2:49" s="64" customFormat="1">
      <c r="B538" s="63"/>
      <c r="C538" s="136"/>
      <c r="D538" s="174"/>
      <c r="E538" s="156"/>
      <c r="F538" s="156"/>
      <c r="G538" s="156"/>
      <c r="H538" s="671"/>
      <c r="I538" s="156"/>
      <c r="J538" s="671"/>
      <c r="K538" s="156"/>
      <c r="L538" s="156"/>
      <c r="M538" s="671"/>
      <c r="N538" s="156"/>
      <c r="O538" s="671"/>
      <c r="P538" s="156"/>
      <c r="Q538" s="156"/>
      <c r="R538" s="156"/>
      <c r="S538" s="156"/>
      <c r="T538" s="156"/>
      <c r="U538" s="156"/>
      <c r="V538" s="671"/>
      <c r="W538" s="156"/>
      <c r="X538" s="671"/>
      <c r="Y538" s="671"/>
      <c r="Z538" s="156"/>
      <c r="AA538" s="156"/>
      <c r="AB538" s="156"/>
      <c r="AC538" s="738"/>
      <c r="AD538" s="738"/>
      <c r="AE538" s="138"/>
      <c r="AF538" s="138"/>
      <c r="AG538" s="738"/>
      <c r="AH538" s="138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</row>
    <row r="539" spans="2:49" s="64" customFormat="1">
      <c r="B539" s="63"/>
      <c r="C539" s="136"/>
      <c r="D539" s="174"/>
      <c r="E539" s="156"/>
      <c r="F539" s="156"/>
      <c r="G539" s="156"/>
      <c r="H539" s="671"/>
      <c r="I539" s="156"/>
      <c r="J539" s="671"/>
      <c r="K539" s="156"/>
      <c r="L539" s="156"/>
      <c r="M539" s="671"/>
      <c r="N539" s="156"/>
      <c r="O539" s="671"/>
      <c r="P539" s="156"/>
      <c r="Q539" s="156"/>
      <c r="R539" s="156"/>
      <c r="S539" s="156"/>
      <c r="T539" s="156"/>
      <c r="U539" s="156"/>
      <c r="V539" s="671"/>
      <c r="W539" s="156"/>
      <c r="X539" s="671"/>
      <c r="Y539" s="671"/>
      <c r="Z539" s="156"/>
      <c r="AA539" s="156"/>
      <c r="AB539" s="156"/>
      <c r="AC539" s="738"/>
      <c r="AD539" s="738"/>
      <c r="AE539" s="138"/>
      <c r="AF539" s="138"/>
      <c r="AG539" s="738"/>
      <c r="AH539" s="138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</row>
    <row r="540" spans="2:49" s="64" customFormat="1">
      <c r="B540" s="63"/>
      <c r="C540" s="136"/>
      <c r="D540" s="174"/>
      <c r="E540" s="156"/>
      <c r="F540" s="156"/>
      <c r="G540" s="156"/>
      <c r="H540" s="671"/>
      <c r="I540" s="156"/>
      <c r="J540" s="671"/>
      <c r="K540" s="156"/>
      <c r="L540" s="156"/>
      <c r="M540" s="671"/>
      <c r="N540" s="156"/>
      <c r="O540" s="671"/>
      <c r="P540" s="156"/>
      <c r="Q540" s="156"/>
      <c r="R540" s="156"/>
      <c r="S540" s="156"/>
      <c r="T540" s="156"/>
      <c r="U540" s="156"/>
      <c r="V540" s="671"/>
      <c r="W540" s="156"/>
      <c r="X540" s="671"/>
      <c r="Y540" s="671"/>
      <c r="Z540" s="156"/>
      <c r="AA540" s="156"/>
      <c r="AB540" s="156"/>
      <c r="AC540" s="738"/>
      <c r="AD540" s="738"/>
      <c r="AE540" s="138"/>
      <c r="AF540" s="138"/>
      <c r="AG540" s="738"/>
      <c r="AH540" s="138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</row>
    <row r="541" spans="2:49" s="64" customFormat="1">
      <c r="B541" s="63"/>
      <c r="C541" s="136"/>
      <c r="D541" s="174"/>
      <c r="E541" s="156"/>
      <c r="F541" s="156"/>
      <c r="G541" s="156"/>
      <c r="H541" s="671"/>
      <c r="I541" s="156"/>
      <c r="J541" s="671"/>
      <c r="K541" s="156"/>
      <c r="L541" s="156"/>
      <c r="M541" s="671"/>
      <c r="N541" s="156"/>
      <c r="O541" s="671"/>
      <c r="P541" s="156"/>
      <c r="Q541" s="156"/>
      <c r="R541" s="156"/>
      <c r="S541" s="156"/>
      <c r="T541" s="156"/>
      <c r="U541" s="156"/>
      <c r="V541" s="671"/>
      <c r="W541" s="156"/>
      <c r="X541" s="671"/>
      <c r="Y541" s="671"/>
      <c r="Z541" s="156"/>
      <c r="AA541" s="156"/>
      <c r="AB541" s="156"/>
      <c r="AC541" s="738"/>
      <c r="AD541" s="738"/>
      <c r="AE541" s="138"/>
      <c r="AF541" s="138"/>
      <c r="AG541" s="738"/>
      <c r="AH541" s="138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</row>
    <row r="542" spans="2:49" s="64" customFormat="1">
      <c r="B542" s="63"/>
      <c r="C542" s="136"/>
      <c r="D542" s="174"/>
      <c r="E542" s="156"/>
      <c r="F542" s="156"/>
      <c r="G542" s="156"/>
      <c r="H542" s="671"/>
      <c r="I542" s="156"/>
      <c r="J542" s="671"/>
      <c r="K542" s="156"/>
      <c r="L542" s="156"/>
      <c r="M542" s="671"/>
      <c r="N542" s="156"/>
      <c r="O542" s="671"/>
      <c r="P542" s="156"/>
      <c r="Q542" s="156"/>
      <c r="R542" s="156"/>
      <c r="S542" s="156"/>
      <c r="T542" s="156"/>
      <c r="U542" s="156"/>
      <c r="V542" s="671"/>
      <c r="W542" s="156"/>
      <c r="X542" s="671"/>
      <c r="Y542" s="671"/>
      <c r="Z542" s="156"/>
      <c r="AA542" s="156"/>
      <c r="AB542" s="156"/>
      <c r="AC542" s="738"/>
      <c r="AD542" s="738"/>
      <c r="AE542" s="138"/>
      <c r="AF542" s="138"/>
      <c r="AG542" s="738"/>
      <c r="AH542" s="138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</row>
    <row r="543" spans="2:49" s="64" customFormat="1">
      <c r="B543" s="63"/>
      <c r="C543" s="136"/>
      <c r="D543" s="174"/>
      <c r="E543" s="156"/>
      <c r="F543" s="156"/>
      <c r="G543" s="156"/>
      <c r="H543" s="671"/>
      <c r="I543" s="156"/>
      <c r="J543" s="671"/>
      <c r="K543" s="156"/>
      <c r="L543" s="156"/>
      <c r="M543" s="671"/>
      <c r="N543" s="156"/>
      <c r="O543" s="671"/>
      <c r="P543" s="156"/>
      <c r="Q543" s="156"/>
      <c r="R543" s="156"/>
      <c r="S543" s="156"/>
      <c r="T543" s="156"/>
      <c r="U543" s="156"/>
      <c r="V543" s="671"/>
      <c r="W543" s="156"/>
      <c r="X543" s="671"/>
      <c r="Y543" s="671"/>
      <c r="Z543" s="156"/>
      <c r="AA543" s="156"/>
      <c r="AB543" s="156"/>
      <c r="AC543" s="738"/>
      <c r="AD543" s="738"/>
      <c r="AE543" s="138"/>
      <c r="AF543" s="138"/>
      <c r="AG543" s="738"/>
      <c r="AH543" s="138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</row>
    <row r="544" spans="2:49" s="64" customFormat="1">
      <c r="B544" s="63"/>
      <c r="C544" s="136"/>
      <c r="D544" s="174"/>
      <c r="E544" s="156"/>
      <c r="F544" s="156"/>
      <c r="G544" s="156"/>
      <c r="H544" s="671"/>
      <c r="I544" s="156"/>
      <c r="J544" s="671"/>
      <c r="K544" s="156"/>
      <c r="L544" s="156"/>
      <c r="M544" s="671"/>
      <c r="N544" s="156"/>
      <c r="O544" s="671"/>
      <c r="P544" s="156"/>
      <c r="Q544" s="156"/>
      <c r="R544" s="156"/>
      <c r="S544" s="156"/>
      <c r="T544" s="156"/>
      <c r="U544" s="156"/>
      <c r="V544" s="671"/>
      <c r="W544" s="156"/>
      <c r="X544" s="671"/>
      <c r="Y544" s="671"/>
      <c r="Z544" s="156"/>
      <c r="AA544" s="156"/>
      <c r="AB544" s="156"/>
      <c r="AC544" s="738"/>
      <c r="AD544" s="738"/>
      <c r="AE544" s="138"/>
      <c r="AF544" s="138"/>
      <c r="AG544" s="738"/>
      <c r="AH544" s="138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</row>
    <row r="545" spans="2:49" s="64" customFormat="1">
      <c r="B545" s="63"/>
      <c r="C545" s="136"/>
      <c r="D545" s="174"/>
      <c r="E545" s="156"/>
      <c r="F545" s="156"/>
      <c r="G545" s="156"/>
      <c r="H545" s="671"/>
      <c r="I545" s="156"/>
      <c r="J545" s="671"/>
      <c r="K545" s="156"/>
      <c r="L545" s="156"/>
      <c r="M545" s="671"/>
      <c r="N545" s="156"/>
      <c r="O545" s="671"/>
      <c r="P545" s="156"/>
      <c r="Q545" s="156"/>
      <c r="R545" s="156"/>
      <c r="S545" s="156"/>
      <c r="T545" s="156"/>
      <c r="U545" s="156"/>
      <c r="V545" s="671"/>
      <c r="W545" s="156"/>
      <c r="X545" s="671"/>
      <c r="Y545" s="671"/>
      <c r="Z545" s="156"/>
      <c r="AA545" s="156"/>
      <c r="AB545" s="156"/>
      <c r="AC545" s="738"/>
      <c r="AD545" s="738"/>
      <c r="AE545" s="138"/>
      <c r="AF545" s="138"/>
      <c r="AG545" s="738"/>
      <c r="AH545" s="138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</row>
    <row r="546" spans="2:49" s="64" customFormat="1">
      <c r="B546" s="63"/>
      <c r="C546" s="136"/>
      <c r="D546" s="174"/>
      <c r="E546" s="156"/>
      <c r="F546" s="156"/>
      <c r="G546" s="156"/>
      <c r="H546" s="671"/>
      <c r="I546" s="156"/>
      <c r="J546" s="671"/>
      <c r="K546" s="156"/>
      <c r="L546" s="156"/>
      <c r="M546" s="671"/>
      <c r="N546" s="156"/>
      <c r="O546" s="671"/>
      <c r="P546" s="156"/>
      <c r="Q546" s="156"/>
      <c r="R546" s="156"/>
      <c r="S546" s="156"/>
      <c r="T546" s="156"/>
      <c r="U546" s="156"/>
      <c r="V546" s="671"/>
      <c r="W546" s="156"/>
      <c r="X546" s="671"/>
      <c r="Y546" s="671"/>
      <c r="Z546" s="156"/>
      <c r="AA546" s="156"/>
      <c r="AB546" s="156"/>
      <c r="AC546" s="738"/>
      <c r="AD546" s="738"/>
      <c r="AE546" s="138"/>
      <c r="AF546" s="138"/>
      <c r="AG546" s="738"/>
      <c r="AH546" s="138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</row>
    <row r="547" spans="2:49" s="64" customFormat="1">
      <c r="B547" s="63"/>
      <c r="C547" s="136"/>
      <c r="D547" s="174"/>
      <c r="E547" s="156"/>
      <c r="F547" s="156"/>
      <c r="G547" s="156"/>
      <c r="H547" s="671"/>
      <c r="I547" s="156"/>
      <c r="J547" s="671"/>
      <c r="K547" s="156"/>
      <c r="L547" s="156"/>
      <c r="M547" s="671"/>
      <c r="N547" s="156"/>
      <c r="O547" s="671"/>
      <c r="P547" s="156"/>
      <c r="Q547" s="156"/>
      <c r="R547" s="156"/>
      <c r="S547" s="156"/>
      <c r="T547" s="156"/>
      <c r="U547" s="156"/>
      <c r="V547" s="671"/>
      <c r="W547" s="156"/>
      <c r="X547" s="671"/>
      <c r="Y547" s="671"/>
      <c r="Z547" s="156"/>
      <c r="AA547" s="156"/>
      <c r="AB547" s="156"/>
      <c r="AC547" s="738"/>
      <c r="AD547" s="738"/>
      <c r="AE547" s="138"/>
      <c r="AF547" s="138"/>
      <c r="AG547" s="738"/>
      <c r="AH547" s="138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</row>
    <row r="548" spans="2:49" s="64" customFormat="1">
      <c r="B548" s="63"/>
      <c r="C548" s="136"/>
      <c r="D548" s="174"/>
      <c r="E548" s="156"/>
      <c r="F548" s="156"/>
      <c r="G548" s="156"/>
      <c r="H548" s="671"/>
      <c r="I548" s="156"/>
      <c r="J548" s="671"/>
      <c r="K548" s="156"/>
      <c r="L548" s="156"/>
      <c r="M548" s="671"/>
      <c r="N548" s="156"/>
      <c r="O548" s="671"/>
      <c r="P548" s="156"/>
      <c r="Q548" s="156"/>
      <c r="R548" s="156"/>
      <c r="S548" s="156"/>
      <c r="T548" s="156"/>
      <c r="U548" s="156"/>
      <c r="V548" s="671"/>
      <c r="W548" s="156"/>
      <c r="X548" s="671"/>
      <c r="Y548" s="671"/>
      <c r="Z548" s="156"/>
      <c r="AA548" s="156"/>
      <c r="AB548" s="156"/>
      <c r="AC548" s="738"/>
      <c r="AD548" s="738"/>
      <c r="AE548" s="138"/>
      <c r="AF548" s="138"/>
      <c r="AG548" s="738"/>
      <c r="AH548" s="138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</row>
    <row r="549" spans="2:49" s="64" customFormat="1">
      <c r="B549" s="63"/>
      <c r="C549" s="136"/>
      <c r="D549" s="174"/>
      <c r="E549" s="156"/>
      <c r="F549" s="156"/>
      <c r="G549" s="156"/>
      <c r="H549" s="671"/>
      <c r="I549" s="156"/>
      <c r="J549" s="671"/>
      <c r="K549" s="156"/>
      <c r="L549" s="156"/>
      <c r="M549" s="671"/>
      <c r="N549" s="156"/>
      <c r="O549" s="671"/>
      <c r="P549" s="156"/>
      <c r="Q549" s="156"/>
      <c r="R549" s="156"/>
      <c r="S549" s="156"/>
      <c r="T549" s="156"/>
      <c r="U549" s="156"/>
      <c r="V549" s="671"/>
      <c r="W549" s="156"/>
      <c r="X549" s="671"/>
      <c r="Y549" s="671"/>
      <c r="Z549" s="156"/>
      <c r="AA549" s="156"/>
      <c r="AB549" s="156"/>
      <c r="AC549" s="738"/>
      <c r="AD549" s="738"/>
      <c r="AE549" s="138"/>
      <c r="AF549" s="138"/>
      <c r="AG549" s="738"/>
      <c r="AH549" s="138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</row>
    <row r="550" spans="2:49" s="64" customFormat="1">
      <c r="B550" s="63"/>
      <c r="C550" s="136"/>
      <c r="D550" s="174"/>
      <c r="E550" s="156"/>
      <c r="F550" s="156"/>
      <c r="G550" s="156"/>
      <c r="H550" s="671"/>
      <c r="I550" s="156"/>
      <c r="J550" s="671"/>
      <c r="K550" s="156"/>
      <c r="L550" s="156"/>
      <c r="M550" s="671"/>
      <c r="N550" s="156"/>
      <c r="O550" s="671"/>
      <c r="P550" s="156"/>
      <c r="Q550" s="156"/>
      <c r="R550" s="156"/>
      <c r="S550" s="156"/>
      <c r="T550" s="156"/>
      <c r="U550" s="156"/>
      <c r="V550" s="671"/>
      <c r="W550" s="156"/>
      <c r="X550" s="671"/>
      <c r="Y550" s="671"/>
      <c r="Z550" s="156"/>
      <c r="AA550" s="156"/>
      <c r="AB550" s="156"/>
      <c r="AC550" s="738"/>
      <c r="AD550" s="738"/>
      <c r="AE550" s="138"/>
      <c r="AF550" s="138"/>
      <c r="AG550" s="738"/>
      <c r="AH550" s="138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</row>
    <row r="551" spans="2:49" s="64" customFormat="1">
      <c r="B551" s="63"/>
      <c r="C551" s="136"/>
      <c r="D551" s="174"/>
      <c r="E551" s="156"/>
      <c r="F551" s="156"/>
      <c r="G551" s="156"/>
      <c r="H551" s="671"/>
      <c r="I551" s="156"/>
      <c r="J551" s="671"/>
      <c r="K551" s="156"/>
      <c r="L551" s="156"/>
      <c r="M551" s="671"/>
      <c r="N551" s="156"/>
      <c r="O551" s="671"/>
      <c r="P551" s="156"/>
      <c r="Q551" s="156"/>
      <c r="R551" s="156"/>
      <c r="S551" s="156"/>
      <c r="T551" s="156"/>
      <c r="U551" s="156"/>
      <c r="V551" s="671"/>
      <c r="W551" s="156"/>
      <c r="X551" s="671"/>
      <c r="Y551" s="671"/>
      <c r="Z551" s="156"/>
      <c r="AA551" s="156"/>
      <c r="AB551" s="156"/>
      <c r="AC551" s="738"/>
      <c r="AD551" s="738"/>
      <c r="AE551" s="138"/>
      <c r="AF551" s="138"/>
      <c r="AG551" s="738"/>
      <c r="AH551" s="138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</row>
    <row r="552" spans="2:49" s="64" customFormat="1">
      <c r="B552" s="63"/>
      <c r="C552" s="136"/>
      <c r="D552" s="174"/>
      <c r="E552" s="156"/>
      <c r="F552" s="156"/>
      <c r="G552" s="156"/>
      <c r="H552" s="671"/>
      <c r="I552" s="156"/>
      <c r="J552" s="671"/>
      <c r="K552" s="156"/>
      <c r="L552" s="156"/>
      <c r="M552" s="671"/>
      <c r="N552" s="156"/>
      <c r="O552" s="671"/>
      <c r="P552" s="156"/>
      <c r="Q552" s="156"/>
      <c r="R552" s="156"/>
      <c r="S552" s="156"/>
      <c r="T552" s="156"/>
      <c r="U552" s="156"/>
      <c r="V552" s="671"/>
      <c r="W552" s="156"/>
      <c r="X552" s="671"/>
      <c r="Y552" s="671"/>
      <c r="Z552" s="156"/>
      <c r="AA552" s="156"/>
      <c r="AB552" s="156"/>
      <c r="AC552" s="738"/>
      <c r="AD552" s="738"/>
      <c r="AE552" s="138"/>
      <c r="AF552" s="138"/>
      <c r="AG552" s="738"/>
      <c r="AH552" s="138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</row>
    <row r="553" spans="2:49" s="64" customFormat="1">
      <c r="B553" s="63"/>
      <c r="C553" s="136"/>
      <c r="D553" s="174"/>
      <c r="E553" s="156"/>
      <c r="F553" s="156"/>
      <c r="G553" s="156"/>
      <c r="H553" s="671"/>
      <c r="I553" s="156"/>
      <c r="J553" s="671"/>
      <c r="K553" s="156"/>
      <c r="L553" s="156"/>
      <c r="M553" s="671"/>
      <c r="N553" s="156"/>
      <c r="O553" s="671"/>
      <c r="P553" s="156"/>
      <c r="Q553" s="156"/>
      <c r="R553" s="156"/>
      <c r="S553" s="156"/>
      <c r="T553" s="156"/>
      <c r="U553" s="156"/>
      <c r="V553" s="671"/>
      <c r="W553" s="156"/>
      <c r="X553" s="671"/>
      <c r="Y553" s="671"/>
      <c r="Z553" s="156"/>
      <c r="AA553" s="156"/>
      <c r="AB553" s="156"/>
      <c r="AC553" s="738"/>
      <c r="AD553" s="738"/>
      <c r="AE553" s="138"/>
      <c r="AF553" s="138"/>
      <c r="AG553" s="738"/>
      <c r="AH553" s="138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</row>
    <row r="554" spans="2:49" s="64" customFormat="1">
      <c r="B554" s="63"/>
      <c r="C554" s="136"/>
      <c r="D554" s="174"/>
      <c r="E554" s="156"/>
      <c r="F554" s="156"/>
      <c r="G554" s="156"/>
      <c r="H554" s="671"/>
      <c r="I554" s="156"/>
      <c r="J554" s="671"/>
      <c r="K554" s="156"/>
      <c r="L554" s="156"/>
      <c r="M554" s="671"/>
      <c r="N554" s="156"/>
      <c r="O554" s="671"/>
      <c r="P554" s="156"/>
      <c r="Q554" s="156"/>
      <c r="R554" s="156"/>
      <c r="S554" s="156"/>
      <c r="T554" s="156"/>
      <c r="U554" s="156"/>
      <c r="V554" s="671"/>
      <c r="W554" s="156"/>
      <c r="X554" s="671"/>
      <c r="Y554" s="671"/>
      <c r="Z554" s="156"/>
      <c r="AA554" s="156"/>
      <c r="AB554" s="156"/>
      <c r="AC554" s="738"/>
      <c r="AD554" s="738"/>
      <c r="AE554" s="138"/>
      <c r="AF554" s="138"/>
      <c r="AG554" s="738"/>
      <c r="AH554" s="138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</row>
    <row r="555" spans="2:49" s="64" customFormat="1">
      <c r="B555" s="63"/>
      <c r="C555" s="136"/>
      <c r="D555" s="174"/>
      <c r="E555" s="156"/>
      <c r="F555" s="156"/>
      <c r="G555" s="156"/>
      <c r="H555" s="671"/>
      <c r="I555" s="156"/>
      <c r="J555" s="671"/>
      <c r="K555" s="156"/>
      <c r="L555" s="156"/>
      <c r="M555" s="671"/>
      <c r="N555" s="156"/>
      <c r="O555" s="671"/>
      <c r="P555" s="156"/>
      <c r="Q555" s="156"/>
      <c r="R555" s="156"/>
      <c r="S555" s="156"/>
      <c r="T555" s="156"/>
      <c r="U555" s="156"/>
      <c r="V555" s="671"/>
      <c r="W555" s="156"/>
      <c r="X555" s="671"/>
      <c r="Y555" s="671"/>
      <c r="Z555" s="156"/>
      <c r="AA555" s="156"/>
      <c r="AB555" s="156"/>
      <c r="AC555" s="738"/>
      <c r="AD555" s="738"/>
      <c r="AE555" s="138"/>
      <c r="AF555" s="138"/>
      <c r="AG555" s="738"/>
      <c r="AH555" s="138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</row>
    <row r="556" spans="2:49" s="64" customFormat="1">
      <c r="B556" s="63"/>
      <c r="C556" s="136"/>
      <c r="D556" s="174"/>
      <c r="E556" s="156"/>
      <c r="F556" s="156"/>
      <c r="G556" s="156"/>
      <c r="H556" s="671"/>
      <c r="I556" s="156"/>
      <c r="J556" s="671"/>
      <c r="K556" s="156"/>
      <c r="L556" s="156"/>
      <c r="M556" s="671"/>
      <c r="N556" s="156"/>
      <c r="O556" s="671"/>
      <c r="P556" s="156"/>
      <c r="Q556" s="156"/>
      <c r="R556" s="156"/>
      <c r="S556" s="156"/>
      <c r="T556" s="156"/>
      <c r="U556" s="156"/>
      <c r="V556" s="671"/>
      <c r="W556" s="156"/>
      <c r="X556" s="671"/>
      <c r="Y556" s="671"/>
      <c r="Z556" s="156"/>
      <c r="AA556" s="156"/>
      <c r="AB556" s="156"/>
      <c r="AC556" s="738"/>
      <c r="AD556" s="738"/>
      <c r="AE556" s="138"/>
      <c r="AF556" s="138"/>
      <c r="AG556" s="738"/>
      <c r="AH556" s="138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</row>
    <row r="557" spans="2:49" s="64" customFormat="1">
      <c r="B557" s="63"/>
      <c r="C557" s="136"/>
      <c r="D557" s="174"/>
      <c r="E557" s="156"/>
      <c r="F557" s="156"/>
      <c r="G557" s="156"/>
      <c r="H557" s="671"/>
      <c r="I557" s="156"/>
      <c r="J557" s="671"/>
      <c r="K557" s="156"/>
      <c r="L557" s="156"/>
      <c r="M557" s="671"/>
      <c r="N557" s="156"/>
      <c r="O557" s="671"/>
      <c r="P557" s="156"/>
      <c r="Q557" s="156"/>
      <c r="R557" s="156"/>
      <c r="S557" s="156"/>
      <c r="T557" s="156"/>
      <c r="U557" s="156"/>
      <c r="V557" s="671"/>
      <c r="W557" s="156"/>
      <c r="X557" s="671"/>
      <c r="Y557" s="671"/>
      <c r="Z557" s="156"/>
      <c r="AA557" s="156"/>
      <c r="AB557" s="156"/>
      <c r="AC557" s="738"/>
      <c r="AD557" s="738"/>
      <c r="AE557" s="138"/>
      <c r="AF557" s="138"/>
      <c r="AG557" s="738"/>
      <c r="AH557" s="138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</row>
    <row r="558" spans="2:49" s="64" customFormat="1">
      <c r="B558" s="63"/>
      <c r="C558" s="136"/>
      <c r="D558" s="174"/>
      <c r="E558" s="156"/>
      <c r="F558" s="156"/>
      <c r="G558" s="156"/>
      <c r="H558" s="671"/>
      <c r="I558" s="156"/>
      <c r="J558" s="671"/>
      <c r="K558" s="156"/>
      <c r="L558" s="156"/>
      <c r="M558" s="671"/>
      <c r="N558" s="156"/>
      <c r="O558" s="671"/>
      <c r="P558" s="156"/>
      <c r="Q558" s="156"/>
      <c r="R558" s="156"/>
      <c r="S558" s="156"/>
      <c r="T558" s="156"/>
      <c r="U558" s="156"/>
      <c r="V558" s="671"/>
      <c r="W558" s="156"/>
      <c r="X558" s="671"/>
      <c r="Y558" s="671"/>
      <c r="Z558" s="156"/>
      <c r="AA558" s="156"/>
      <c r="AB558" s="156"/>
      <c r="AC558" s="738"/>
      <c r="AD558" s="738"/>
      <c r="AE558" s="138"/>
      <c r="AF558" s="138"/>
      <c r="AG558" s="738"/>
      <c r="AH558" s="138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</row>
    <row r="559" spans="2:49" s="64" customFormat="1">
      <c r="B559" s="63"/>
      <c r="C559" s="136"/>
      <c r="D559" s="174"/>
      <c r="E559" s="156"/>
      <c r="F559" s="156"/>
      <c r="G559" s="156"/>
      <c r="H559" s="671"/>
      <c r="I559" s="156"/>
      <c r="J559" s="671"/>
      <c r="K559" s="156"/>
      <c r="L559" s="156"/>
      <c r="M559" s="671"/>
      <c r="N559" s="156"/>
      <c r="O559" s="671"/>
      <c r="P559" s="156"/>
      <c r="Q559" s="156"/>
      <c r="R559" s="156"/>
      <c r="S559" s="156"/>
      <c r="T559" s="156"/>
      <c r="U559" s="156"/>
      <c r="V559" s="671"/>
      <c r="W559" s="156"/>
      <c r="X559" s="671"/>
      <c r="Y559" s="671"/>
      <c r="Z559" s="156"/>
      <c r="AA559" s="156"/>
      <c r="AB559" s="156"/>
      <c r="AC559" s="738"/>
      <c r="AD559" s="738"/>
      <c r="AE559" s="138"/>
      <c r="AF559" s="138"/>
      <c r="AG559" s="738"/>
      <c r="AH559" s="138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</row>
    <row r="560" spans="2:49" s="64" customFormat="1">
      <c r="B560" s="63"/>
      <c r="C560" s="136"/>
      <c r="D560" s="174"/>
      <c r="E560" s="156"/>
      <c r="F560" s="156"/>
      <c r="G560" s="156"/>
      <c r="H560" s="671"/>
      <c r="I560" s="156"/>
      <c r="J560" s="671"/>
      <c r="K560" s="156"/>
      <c r="L560" s="156"/>
      <c r="M560" s="671"/>
      <c r="N560" s="156"/>
      <c r="O560" s="671"/>
      <c r="P560" s="156"/>
      <c r="Q560" s="156"/>
      <c r="R560" s="156"/>
      <c r="S560" s="156"/>
      <c r="T560" s="156"/>
      <c r="U560" s="156"/>
      <c r="V560" s="671"/>
      <c r="W560" s="156"/>
      <c r="X560" s="671"/>
      <c r="Y560" s="671"/>
      <c r="Z560" s="156"/>
      <c r="AA560" s="156"/>
      <c r="AB560" s="156"/>
      <c r="AC560" s="738"/>
      <c r="AD560" s="738"/>
      <c r="AE560" s="138"/>
      <c r="AF560" s="138"/>
      <c r="AG560" s="738"/>
      <c r="AH560" s="138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</row>
    <row r="561" spans="2:49" s="64" customFormat="1">
      <c r="B561" s="63"/>
      <c r="C561" s="136"/>
      <c r="D561" s="174"/>
      <c r="E561" s="156"/>
      <c r="F561" s="156"/>
      <c r="G561" s="156"/>
      <c r="H561" s="671"/>
      <c r="I561" s="156"/>
      <c r="J561" s="671"/>
      <c r="K561" s="156"/>
      <c r="L561" s="156"/>
      <c r="M561" s="671"/>
      <c r="N561" s="156"/>
      <c r="O561" s="671"/>
      <c r="P561" s="156"/>
      <c r="Q561" s="156"/>
      <c r="R561" s="156"/>
      <c r="S561" s="156"/>
      <c r="T561" s="156"/>
      <c r="U561" s="156"/>
      <c r="V561" s="671"/>
      <c r="W561" s="156"/>
      <c r="X561" s="671"/>
      <c r="Y561" s="671"/>
      <c r="Z561" s="156"/>
      <c r="AA561" s="156"/>
      <c r="AB561" s="156"/>
      <c r="AC561" s="738"/>
      <c r="AD561" s="738"/>
      <c r="AE561" s="138"/>
      <c r="AF561" s="138"/>
      <c r="AG561" s="738"/>
      <c r="AH561" s="138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</row>
    <row r="562" spans="2:49" s="64" customFormat="1">
      <c r="B562" s="63"/>
      <c r="C562" s="136"/>
      <c r="D562" s="174"/>
      <c r="E562" s="156"/>
      <c r="F562" s="156"/>
      <c r="G562" s="156"/>
      <c r="H562" s="671"/>
      <c r="I562" s="156"/>
      <c r="J562" s="671"/>
      <c r="K562" s="156"/>
      <c r="L562" s="156"/>
      <c r="M562" s="671"/>
      <c r="N562" s="156"/>
      <c r="O562" s="671"/>
      <c r="P562" s="156"/>
      <c r="Q562" s="156"/>
      <c r="R562" s="156"/>
      <c r="S562" s="156"/>
      <c r="T562" s="156"/>
      <c r="U562" s="156"/>
      <c r="V562" s="671"/>
      <c r="W562" s="156"/>
      <c r="X562" s="671"/>
      <c r="Y562" s="671"/>
      <c r="Z562" s="156"/>
      <c r="AA562" s="156"/>
      <c r="AB562" s="156"/>
      <c r="AC562" s="738"/>
      <c r="AD562" s="738"/>
      <c r="AE562" s="138"/>
      <c r="AF562" s="138"/>
      <c r="AG562" s="738"/>
      <c r="AH562" s="138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</row>
    <row r="563" spans="2:49" s="64" customFormat="1">
      <c r="B563" s="63"/>
      <c r="C563" s="136"/>
      <c r="D563" s="174"/>
      <c r="E563" s="156"/>
      <c r="F563" s="156"/>
      <c r="G563" s="156"/>
      <c r="H563" s="671"/>
      <c r="I563" s="156"/>
      <c r="J563" s="671"/>
      <c r="K563" s="156"/>
      <c r="L563" s="156"/>
      <c r="M563" s="671"/>
      <c r="N563" s="156"/>
      <c r="O563" s="671"/>
      <c r="P563" s="156"/>
      <c r="Q563" s="156"/>
      <c r="R563" s="156"/>
      <c r="S563" s="156"/>
      <c r="T563" s="156"/>
      <c r="U563" s="156"/>
      <c r="V563" s="671"/>
      <c r="W563" s="156"/>
      <c r="X563" s="671"/>
      <c r="Y563" s="671"/>
      <c r="Z563" s="156"/>
      <c r="AA563" s="156"/>
      <c r="AB563" s="156"/>
      <c r="AC563" s="738"/>
      <c r="AD563" s="738"/>
      <c r="AE563" s="138"/>
      <c r="AF563" s="138"/>
      <c r="AG563" s="738"/>
      <c r="AH563" s="138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</row>
    <row r="564" spans="2:49" s="64" customFormat="1">
      <c r="B564" s="63"/>
      <c r="C564" s="136"/>
      <c r="D564" s="174"/>
      <c r="E564" s="156"/>
      <c r="F564" s="156"/>
      <c r="G564" s="156"/>
      <c r="H564" s="671"/>
      <c r="I564" s="156"/>
      <c r="J564" s="671"/>
      <c r="K564" s="156"/>
      <c r="L564" s="156"/>
      <c r="M564" s="671"/>
      <c r="N564" s="156"/>
      <c r="O564" s="671"/>
      <c r="P564" s="156"/>
      <c r="Q564" s="156"/>
      <c r="R564" s="156"/>
      <c r="S564" s="156"/>
      <c r="T564" s="156"/>
      <c r="U564" s="156"/>
      <c r="V564" s="671"/>
      <c r="W564" s="156"/>
      <c r="X564" s="671"/>
      <c r="Y564" s="671"/>
      <c r="Z564" s="156"/>
      <c r="AA564" s="156"/>
      <c r="AB564" s="156"/>
      <c r="AC564" s="738"/>
      <c r="AD564" s="738"/>
      <c r="AE564" s="138"/>
      <c r="AF564" s="138"/>
      <c r="AG564" s="738"/>
      <c r="AH564" s="138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</row>
    <row r="565" spans="2:49" s="64" customFormat="1">
      <c r="B565" s="63"/>
      <c r="C565" s="136"/>
      <c r="D565" s="174"/>
      <c r="E565" s="156"/>
      <c r="F565" s="156"/>
      <c r="G565" s="156"/>
      <c r="H565" s="671"/>
      <c r="I565" s="156"/>
      <c r="J565" s="671"/>
      <c r="K565" s="156"/>
      <c r="L565" s="156"/>
      <c r="M565" s="671"/>
      <c r="N565" s="156"/>
      <c r="O565" s="671"/>
      <c r="P565" s="156"/>
      <c r="Q565" s="156"/>
      <c r="R565" s="156"/>
      <c r="S565" s="156"/>
      <c r="T565" s="156"/>
      <c r="U565" s="156"/>
      <c r="V565" s="671"/>
      <c r="W565" s="156"/>
      <c r="X565" s="671"/>
      <c r="Y565" s="671"/>
      <c r="Z565" s="156"/>
      <c r="AA565" s="156"/>
      <c r="AB565" s="156"/>
      <c r="AC565" s="738"/>
      <c r="AD565" s="738"/>
      <c r="AE565" s="138"/>
      <c r="AF565" s="138"/>
      <c r="AG565" s="738"/>
      <c r="AH565" s="138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</row>
    <row r="566" spans="2:49" s="64" customFormat="1">
      <c r="B566" s="63"/>
      <c r="C566" s="136"/>
      <c r="D566" s="174"/>
      <c r="E566" s="156"/>
      <c r="F566" s="156"/>
      <c r="G566" s="156"/>
      <c r="H566" s="671"/>
      <c r="I566" s="156"/>
      <c r="J566" s="671"/>
      <c r="K566" s="156"/>
      <c r="L566" s="156"/>
      <c r="M566" s="671"/>
      <c r="N566" s="156"/>
      <c r="O566" s="671"/>
      <c r="P566" s="156"/>
      <c r="Q566" s="156"/>
      <c r="R566" s="156"/>
      <c r="S566" s="156"/>
      <c r="T566" s="156"/>
      <c r="U566" s="156"/>
      <c r="V566" s="671"/>
      <c r="W566" s="156"/>
      <c r="X566" s="671"/>
      <c r="Y566" s="671"/>
      <c r="Z566" s="156"/>
      <c r="AA566" s="156"/>
      <c r="AB566" s="156"/>
      <c r="AC566" s="738"/>
      <c r="AD566" s="738"/>
      <c r="AE566" s="138"/>
      <c r="AF566" s="138"/>
      <c r="AG566" s="738"/>
      <c r="AH566" s="138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</row>
    <row r="567" spans="2:49" s="64" customFormat="1">
      <c r="B567" s="63"/>
      <c r="C567" s="136"/>
      <c r="D567" s="174"/>
      <c r="E567" s="156"/>
      <c r="F567" s="156"/>
      <c r="G567" s="156"/>
      <c r="H567" s="671"/>
      <c r="I567" s="156"/>
      <c r="J567" s="671"/>
      <c r="K567" s="156"/>
      <c r="L567" s="156"/>
      <c r="M567" s="671"/>
      <c r="N567" s="156"/>
      <c r="O567" s="671"/>
      <c r="P567" s="156"/>
      <c r="Q567" s="156"/>
      <c r="R567" s="156"/>
      <c r="S567" s="156"/>
      <c r="T567" s="156"/>
      <c r="U567" s="156"/>
      <c r="V567" s="671"/>
      <c r="W567" s="156"/>
      <c r="X567" s="671"/>
      <c r="Y567" s="671"/>
      <c r="Z567" s="156"/>
      <c r="AA567" s="156"/>
      <c r="AB567" s="156"/>
      <c r="AC567" s="738"/>
      <c r="AD567" s="738"/>
      <c r="AE567" s="138"/>
      <c r="AF567" s="138"/>
      <c r="AG567" s="738"/>
      <c r="AH567" s="138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</row>
    <row r="568" spans="2:49" s="64" customFormat="1">
      <c r="B568" s="63"/>
      <c r="C568" s="136"/>
      <c r="D568" s="174"/>
      <c r="E568" s="156"/>
      <c r="F568" s="156"/>
      <c r="G568" s="156"/>
      <c r="H568" s="671"/>
      <c r="I568" s="156"/>
      <c r="J568" s="671"/>
      <c r="K568" s="156"/>
      <c r="L568" s="156"/>
      <c r="M568" s="671"/>
      <c r="N568" s="156"/>
      <c r="O568" s="671"/>
      <c r="P568" s="156"/>
      <c r="Q568" s="156"/>
      <c r="R568" s="156"/>
      <c r="S568" s="156"/>
      <c r="T568" s="156"/>
      <c r="U568" s="156"/>
      <c r="V568" s="671"/>
      <c r="W568" s="156"/>
      <c r="X568" s="671"/>
      <c r="Y568" s="671"/>
      <c r="Z568" s="156"/>
      <c r="AA568" s="156"/>
      <c r="AB568" s="156"/>
      <c r="AC568" s="738"/>
      <c r="AD568" s="738"/>
      <c r="AE568" s="138"/>
      <c r="AF568" s="138"/>
      <c r="AG568" s="738"/>
      <c r="AH568" s="138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</row>
    <row r="569" spans="2:49" s="64" customFormat="1">
      <c r="B569" s="63"/>
      <c r="C569" s="136"/>
      <c r="D569" s="174"/>
      <c r="E569" s="156"/>
      <c r="F569" s="156"/>
      <c r="G569" s="156"/>
      <c r="H569" s="671"/>
      <c r="I569" s="156"/>
      <c r="J569" s="671"/>
      <c r="K569" s="156"/>
      <c r="L569" s="156"/>
      <c r="M569" s="671"/>
      <c r="N569" s="156"/>
      <c r="O569" s="671"/>
      <c r="P569" s="156"/>
      <c r="Q569" s="156"/>
      <c r="R569" s="156"/>
      <c r="S569" s="156"/>
      <c r="T569" s="156"/>
      <c r="U569" s="156"/>
      <c r="V569" s="671"/>
      <c r="W569" s="156"/>
      <c r="X569" s="671"/>
      <c r="Y569" s="671"/>
      <c r="Z569" s="156"/>
      <c r="AA569" s="156"/>
      <c r="AB569" s="156"/>
      <c r="AC569" s="738"/>
      <c r="AD569" s="738"/>
      <c r="AE569" s="138"/>
      <c r="AF569" s="138"/>
      <c r="AG569" s="738"/>
      <c r="AH569" s="138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</row>
    <row r="570" spans="2:49" s="64" customFormat="1">
      <c r="B570" s="63"/>
      <c r="C570" s="136"/>
      <c r="D570" s="174"/>
      <c r="E570" s="156"/>
      <c r="F570" s="156"/>
      <c r="G570" s="156"/>
      <c r="H570" s="671"/>
      <c r="I570" s="156"/>
      <c r="J570" s="671"/>
      <c r="K570" s="156"/>
      <c r="L570" s="156"/>
      <c r="M570" s="671"/>
      <c r="N570" s="156"/>
      <c r="O570" s="671"/>
      <c r="P570" s="156"/>
      <c r="Q570" s="156"/>
      <c r="R570" s="156"/>
      <c r="S570" s="156"/>
      <c r="T570" s="156"/>
      <c r="U570" s="156"/>
      <c r="V570" s="671"/>
      <c r="W570" s="156"/>
      <c r="X570" s="671"/>
      <c r="Y570" s="671"/>
      <c r="Z570" s="156"/>
      <c r="AA570" s="156"/>
      <c r="AB570" s="156"/>
      <c r="AC570" s="738"/>
      <c r="AD570" s="738"/>
      <c r="AE570" s="138"/>
      <c r="AF570" s="138"/>
      <c r="AG570" s="738"/>
      <c r="AH570" s="138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</row>
    <row r="571" spans="2:49" s="64" customFormat="1">
      <c r="B571" s="63"/>
      <c r="C571" s="136"/>
      <c r="D571" s="174"/>
      <c r="E571" s="156"/>
      <c r="F571" s="156"/>
      <c r="G571" s="156"/>
      <c r="H571" s="671"/>
      <c r="I571" s="156"/>
      <c r="J571" s="671"/>
      <c r="K571" s="156"/>
      <c r="L571" s="156"/>
      <c r="M571" s="671"/>
      <c r="N571" s="156"/>
      <c r="O571" s="671"/>
      <c r="P571" s="156"/>
      <c r="Q571" s="156"/>
      <c r="R571" s="156"/>
      <c r="S571" s="156"/>
      <c r="T571" s="156"/>
      <c r="U571" s="156"/>
      <c r="V571" s="671"/>
      <c r="W571" s="156"/>
      <c r="X571" s="671"/>
      <c r="Y571" s="671"/>
      <c r="Z571" s="156"/>
      <c r="AA571" s="156"/>
      <c r="AB571" s="156"/>
      <c r="AC571" s="738"/>
      <c r="AD571" s="738"/>
      <c r="AE571" s="138"/>
      <c r="AF571" s="138"/>
      <c r="AG571" s="738"/>
      <c r="AH571" s="138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</row>
    <row r="572" spans="2:49" s="64" customFormat="1">
      <c r="B572" s="63"/>
      <c r="C572" s="136"/>
      <c r="D572" s="174"/>
      <c r="E572" s="156"/>
      <c r="F572" s="156"/>
      <c r="G572" s="156"/>
      <c r="H572" s="671"/>
      <c r="I572" s="156"/>
      <c r="J572" s="671"/>
      <c r="K572" s="156"/>
      <c r="L572" s="156"/>
      <c r="M572" s="671"/>
      <c r="N572" s="156"/>
      <c r="O572" s="671"/>
      <c r="P572" s="156"/>
      <c r="Q572" s="156"/>
      <c r="R572" s="156"/>
      <c r="S572" s="156"/>
      <c r="T572" s="156"/>
      <c r="U572" s="156"/>
      <c r="V572" s="671"/>
      <c r="W572" s="156"/>
      <c r="X572" s="671"/>
      <c r="Y572" s="671"/>
      <c r="Z572" s="156"/>
      <c r="AA572" s="156"/>
      <c r="AB572" s="156"/>
      <c r="AC572" s="738"/>
      <c r="AD572" s="738"/>
      <c r="AE572" s="138"/>
      <c r="AF572" s="138"/>
      <c r="AG572" s="738"/>
      <c r="AH572" s="138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</row>
    <row r="573" spans="2:49" s="64" customFormat="1">
      <c r="B573" s="63"/>
      <c r="C573" s="136"/>
      <c r="D573" s="174"/>
      <c r="E573" s="156"/>
      <c r="F573" s="156"/>
      <c r="G573" s="156"/>
      <c r="H573" s="671"/>
      <c r="I573" s="156"/>
      <c r="J573" s="671"/>
      <c r="K573" s="156"/>
      <c r="L573" s="156"/>
      <c r="M573" s="671"/>
      <c r="N573" s="156"/>
      <c r="O573" s="671"/>
      <c r="P573" s="156"/>
      <c r="Q573" s="156"/>
      <c r="R573" s="156"/>
      <c r="S573" s="156"/>
      <c r="T573" s="156"/>
      <c r="U573" s="156"/>
      <c r="V573" s="671"/>
      <c r="W573" s="156"/>
      <c r="X573" s="671"/>
      <c r="Y573" s="671"/>
      <c r="Z573" s="156"/>
      <c r="AA573" s="156"/>
      <c r="AB573" s="156"/>
      <c r="AC573" s="738"/>
      <c r="AD573" s="738"/>
      <c r="AE573" s="138"/>
      <c r="AF573" s="138"/>
      <c r="AG573" s="738"/>
      <c r="AH573" s="138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</row>
    <row r="574" spans="2:49" s="64" customFormat="1">
      <c r="B574" s="63"/>
      <c r="C574" s="136"/>
      <c r="D574" s="174"/>
      <c r="E574" s="156"/>
      <c r="F574" s="156"/>
      <c r="G574" s="156"/>
      <c r="H574" s="671"/>
      <c r="I574" s="156"/>
      <c r="J574" s="671"/>
      <c r="K574" s="156"/>
      <c r="L574" s="156"/>
      <c r="M574" s="671"/>
      <c r="N574" s="156"/>
      <c r="O574" s="671"/>
      <c r="P574" s="156"/>
      <c r="Q574" s="156"/>
      <c r="R574" s="156"/>
      <c r="S574" s="156"/>
      <c r="T574" s="156"/>
      <c r="U574" s="156"/>
      <c r="V574" s="671"/>
      <c r="W574" s="156"/>
      <c r="X574" s="671"/>
      <c r="Y574" s="671"/>
      <c r="Z574" s="156"/>
      <c r="AA574" s="156"/>
      <c r="AB574" s="156"/>
      <c r="AC574" s="738"/>
      <c r="AD574" s="738"/>
      <c r="AE574" s="138"/>
      <c r="AF574" s="138"/>
      <c r="AG574" s="738"/>
      <c r="AH574" s="138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</row>
    <row r="575" spans="2:49" s="64" customFormat="1">
      <c r="B575" s="63"/>
      <c r="C575" s="136"/>
      <c r="D575" s="174"/>
      <c r="E575" s="156"/>
      <c r="F575" s="156"/>
      <c r="G575" s="156"/>
      <c r="H575" s="671"/>
      <c r="I575" s="156"/>
      <c r="J575" s="671"/>
      <c r="K575" s="156"/>
      <c r="L575" s="156"/>
      <c r="M575" s="671"/>
      <c r="N575" s="156"/>
      <c r="O575" s="671"/>
      <c r="P575" s="156"/>
      <c r="Q575" s="156"/>
      <c r="R575" s="156"/>
      <c r="S575" s="156"/>
      <c r="T575" s="156"/>
      <c r="U575" s="156"/>
      <c r="V575" s="671"/>
      <c r="W575" s="156"/>
      <c r="X575" s="671"/>
      <c r="Y575" s="671"/>
      <c r="Z575" s="156"/>
      <c r="AA575" s="156"/>
      <c r="AB575" s="156"/>
      <c r="AC575" s="738"/>
      <c r="AD575" s="738"/>
      <c r="AE575" s="138"/>
      <c r="AF575" s="138"/>
      <c r="AG575" s="738"/>
      <c r="AH575" s="138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</row>
    <row r="576" spans="2:49" s="64" customFormat="1">
      <c r="B576" s="63"/>
      <c r="C576" s="136"/>
      <c r="D576" s="174"/>
      <c r="E576" s="156"/>
      <c r="F576" s="156"/>
      <c r="G576" s="156"/>
      <c r="H576" s="671"/>
      <c r="I576" s="156"/>
      <c r="J576" s="671"/>
      <c r="K576" s="156"/>
      <c r="L576" s="156"/>
      <c r="M576" s="671"/>
      <c r="N576" s="156"/>
      <c r="O576" s="671"/>
      <c r="P576" s="156"/>
      <c r="Q576" s="156"/>
      <c r="R576" s="156"/>
      <c r="S576" s="156"/>
      <c r="T576" s="156"/>
      <c r="U576" s="156"/>
      <c r="V576" s="671"/>
      <c r="W576" s="156"/>
      <c r="X576" s="671"/>
      <c r="Y576" s="671"/>
      <c r="Z576" s="156"/>
      <c r="AA576" s="156"/>
      <c r="AB576" s="156"/>
      <c r="AC576" s="738"/>
      <c r="AD576" s="738"/>
      <c r="AE576" s="138"/>
      <c r="AF576" s="138"/>
      <c r="AG576" s="738"/>
      <c r="AH576" s="138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</row>
    <row r="577" spans="2:49" s="64" customFormat="1">
      <c r="B577" s="63"/>
      <c r="C577" s="136"/>
      <c r="D577" s="174"/>
      <c r="E577" s="156"/>
      <c r="F577" s="156"/>
      <c r="G577" s="156"/>
      <c r="H577" s="671"/>
      <c r="I577" s="156"/>
      <c r="J577" s="671"/>
      <c r="K577" s="156"/>
      <c r="L577" s="156"/>
      <c r="M577" s="671"/>
      <c r="N577" s="156"/>
      <c r="O577" s="671"/>
      <c r="P577" s="156"/>
      <c r="Q577" s="156"/>
      <c r="R577" s="156"/>
      <c r="S577" s="156"/>
      <c r="T577" s="156"/>
      <c r="U577" s="156"/>
      <c r="V577" s="671"/>
      <c r="W577" s="156"/>
      <c r="X577" s="671"/>
      <c r="Y577" s="671"/>
      <c r="Z577" s="156"/>
      <c r="AA577" s="156"/>
      <c r="AB577" s="156"/>
      <c r="AC577" s="738"/>
      <c r="AD577" s="738"/>
      <c r="AE577" s="138"/>
      <c r="AF577" s="138"/>
      <c r="AG577" s="738"/>
      <c r="AH577" s="138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</row>
    <row r="578" spans="2:49" s="64" customFormat="1">
      <c r="B578" s="63"/>
      <c r="C578" s="136"/>
      <c r="D578" s="174"/>
      <c r="E578" s="156"/>
      <c r="F578" s="156"/>
      <c r="G578" s="156"/>
      <c r="H578" s="671"/>
      <c r="I578" s="156"/>
      <c r="J578" s="671"/>
      <c r="K578" s="156"/>
      <c r="L578" s="156"/>
      <c r="M578" s="671"/>
      <c r="N578" s="156"/>
      <c r="O578" s="671"/>
      <c r="P578" s="156"/>
      <c r="Q578" s="156"/>
      <c r="R578" s="156"/>
      <c r="S578" s="156"/>
      <c r="T578" s="156"/>
      <c r="U578" s="156"/>
      <c r="V578" s="671"/>
      <c r="W578" s="156"/>
      <c r="X578" s="671"/>
      <c r="Y578" s="671"/>
      <c r="Z578" s="156"/>
      <c r="AA578" s="156"/>
      <c r="AB578" s="156"/>
      <c r="AC578" s="738"/>
      <c r="AD578" s="738"/>
      <c r="AE578" s="138"/>
      <c r="AF578" s="138"/>
      <c r="AG578" s="738"/>
      <c r="AH578" s="138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</row>
    <row r="579" spans="2:49" s="64" customFormat="1">
      <c r="B579" s="63"/>
      <c r="C579" s="136"/>
      <c r="D579" s="174"/>
      <c r="E579" s="156"/>
      <c r="F579" s="156"/>
      <c r="G579" s="156"/>
      <c r="H579" s="671"/>
      <c r="I579" s="156"/>
      <c r="J579" s="671"/>
      <c r="K579" s="156"/>
      <c r="L579" s="156"/>
      <c r="M579" s="671"/>
      <c r="N579" s="156"/>
      <c r="O579" s="671"/>
      <c r="P579" s="156"/>
      <c r="Q579" s="156"/>
      <c r="R579" s="156"/>
      <c r="S579" s="156"/>
      <c r="T579" s="156"/>
      <c r="U579" s="156"/>
      <c r="V579" s="671"/>
      <c r="W579" s="156"/>
      <c r="X579" s="671"/>
      <c r="Y579" s="671"/>
      <c r="Z579" s="156"/>
      <c r="AA579" s="156"/>
      <c r="AB579" s="156"/>
      <c r="AC579" s="738"/>
      <c r="AD579" s="738"/>
      <c r="AE579" s="138"/>
      <c r="AF579" s="138"/>
      <c r="AG579" s="738"/>
      <c r="AH579" s="138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</row>
    <row r="580" spans="2:49" s="64" customFormat="1">
      <c r="B580" s="63"/>
      <c r="C580" s="136"/>
      <c r="D580" s="174"/>
      <c r="E580" s="156"/>
      <c r="F580" s="156"/>
      <c r="G580" s="156"/>
      <c r="H580" s="671"/>
      <c r="I580" s="156"/>
      <c r="J580" s="671"/>
      <c r="K580" s="156"/>
      <c r="L580" s="156"/>
      <c r="M580" s="671"/>
      <c r="N580" s="156"/>
      <c r="O580" s="671"/>
      <c r="P580" s="156"/>
      <c r="Q580" s="156"/>
      <c r="R580" s="156"/>
      <c r="S580" s="156"/>
      <c r="T580" s="156"/>
      <c r="U580" s="156"/>
      <c r="V580" s="671"/>
      <c r="W580" s="156"/>
      <c r="X580" s="671"/>
      <c r="Y580" s="671"/>
      <c r="Z580" s="156"/>
      <c r="AA580" s="156"/>
      <c r="AB580" s="156"/>
      <c r="AC580" s="738"/>
      <c r="AD580" s="738"/>
      <c r="AE580" s="138"/>
      <c r="AF580" s="138"/>
      <c r="AG580" s="738"/>
      <c r="AH580" s="138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</row>
    <row r="581" spans="2:49" s="64" customFormat="1">
      <c r="B581" s="63"/>
      <c r="C581" s="136"/>
      <c r="D581" s="174"/>
      <c r="E581" s="156"/>
      <c r="F581" s="156"/>
      <c r="G581" s="156"/>
      <c r="H581" s="671"/>
      <c r="I581" s="156"/>
      <c r="J581" s="671"/>
      <c r="K581" s="156"/>
      <c r="L581" s="156"/>
      <c r="M581" s="671"/>
      <c r="N581" s="156"/>
      <c r="O581" s="671"/>
      <c r="P581" s="156"/>
      <c r="Q581" s="156"/>
      <c r="R581" s="156"/>
      <c r="S581" s="156"/>
      <c r="T581" s="156"/>
      <c r="U581" s="156"/>
      <c r="V581" s="671"/>
      <c r="W581" s="156"/>
      <c r="X581" s="671"/>
      <c r="Y581" s="671"/>
      <c r="Z581" s="156"/>
      <c r="AA581" s="156"/>
      <c r="AB581" s="156"/>
      <c r="AC581" s="738"/>
      <c r="AD581" s="738"/>
      <c r="AE581" s="138"/>
      <c r="AF581" s="138"/>
      <c r="AG581" s="738"/>
      <c r="AH581" s="138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</row>
    <row r="582" spans="2:49" s="64" customFormat="1">
      <c r="B582" s="63"/>
      <c r="C582" s="136"/>
      <c r="D582" s="174"/>
      <c r="E582" s="156"/>
      <c r="F582" s="156"/>
      <c r="G582" s="156"/>
      <c r="H582" s="671"/>
      <c r="I582" s="156"/>
      <c r="J582" s="671"/>
      <c r="K582" s="156"/>
      <c r="L582" s="156"/>
      <c r="M582" s="671"/>
      <c r="N582" s="156"/>
      <c r="O582" s="671"/>
      <c r="P582" s="156"/>
      <c r="Q582" s="156"/>
      <c r="R582" s="156"/>
      <c r="S582" s="156"/>
      <c r="T582" s="156"/>
      <c r="U582" s="156"/>
      <c r="V582" s="671"/>
      <c r="W582" s="156"/>
      <c r="X582" s="671"/>
      <c r="Y582" s="671"/>
      <c r="Z582" s="156"/>
      <c r="AA582" s="156"/>
      <c r="AB582" s="156"/>
      <c r="AC582" s="738"/>
      <c r="AD582" s="738"/>
      <c r="AE582" s="138"/>
      <c r="AF582" s="138"/>
      <c r="AG582" s="738"/>
      <c r="AH582" s="138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</row>
    <row r="583" spans="2:49" s="64" customFormat="1">
      <c r="B583" s="63"/>
      <c r="C583" s="136"/>
      <c r="D583" s="174"/>
      <c r="E583" s="156"/>
      <c r="F583" s="156"/>
      <c r="G583" s="156"/>
      <c r="H583" s="671"/>
      <c r="I583" s="156"/>
      <c r="J583" s="671"/>
      <c r="K583" s="156"/>
      <c r="L583" s="156"/>
      <c r="M583" s="671"/>
      <c r="N583" s="156"/>
      <c r="O583" s="671"/>
      <c r="P583" s="156"/>
      <c r="Q583" s="156"/>
      <c r="R583" s="156"/>
      <c r="S583" s="156"/>
      <c r="T583" s="156"/>
      <c r="U583" s="156"/>
      <c r="V583" s="671"/>
      <c r="W583" s="156"/>
      <c r="X583" s="671"/>
      <c r="Y583" s="671"/>
      <c r="Z583" s="156"/>
      <c r="AA583" s="156"/>
      <c r="AB583" s="156"/>
      <c r="AC583" s="738"/>
      <c r="AD583" s="738"/>
      <c r="AE583" s="138"/>
      <c r="AF583" s="138"/>
      <c r="AG583" s="738"/>
      <c r="AH583" s="138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</row>
    <row r="584" spans="2:49" s="64" customFormat="1">
      <c r="B584" s="63"/>
      <c r="C584" s="136"/>
      <c r="D584" s="174"/>
      <c r="E584" s="156"/>
      <c r="F584" s="156"/>
      <c r="G584" s="156"/>
      <c r="H584" s="671"/>
      <c r="I584" s="156"/>
      <c r="J584" s="671"/>
      <c r="K584" s="156"/>
      <c r="L584" s="156"/>
      <c r="M584" s="671"/>
      <c r="N584" s="156"/>
      <c r="O584" s="671"/>
      <c r="P584" s="156"/>
      <c r="Q584" s="156"/>
      <c r="R584" s="156"/>
      <c r="S584" s="156"/>
      <c r="T584" s="156"/>
      <c r="U584" s="156"/>
      <c r="V584" s="671"/>
      <c r="W584" s="156"/>
      <c r="X584" s="671"/>
      <c r="Y584" s="671"/>
      <c r="Z584" s="156"/>
      <c r="AA584" s="156"/>
      <c r="AB584" s="156"/>
      <c r="AC584" s="738"/>
      <c r="AD584" s="738"/>
      <c r="AE584" s="138"/>
      <c r="AF584" s="138"/>
      <c r="AG584" s="738"/>
      <c r="AH584" s="138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</row>
    <row r="585" spans="2:49" s="64" customFormat="1">
      <c r="B585" s="63"/>
      <c r="C585" s="136"/>
      <c r="D585" s="174"/>
      <c r="E585" s="156"/>
      <c r="F585" s="156"/>
      <c r="G585" s="156"/>
      <c r="H585" s="671"/>
      <c r="I585" s="156"/>
      <c r="J585" s="671"/>
      <c r="K585" s="156"/>
      <c r="L585" s="156"/>
      <c r="M585" s="671"/>
      <c r="N585" s="156"/>
      <c r="O585" s="671"/>
      <c r="P585" s="156"/>
      <c r="Q585" s="156"/>
      <c r="R585" s="156"/>
      <c r="S585" s="156"/>
      <c r="T585" s="156"/>
      <c r="U585" s="156"/>
      <c r="V585" s="671"/>
      <c r="W585" s="156"/>
      <c r="X585" s="671"/>
      <c r="Y585" s="671"/>
      <c r="Z585" s="156"/>
      <c r="AA585" s="156"/>
      <c r="AB585" s="156"/>
      <c r="AC585" s="738"/>
      <c r="AD585" s="738"/>
      <c r="AE585" s="138"/>
      <c r="AF585" s="138"/>
      <c r="AG585" s="738"/>
      <c r="AH585" s="138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</row>
    <row r="586" spans="2:49" s="64" customFormat="1">
      <c r="B586" s="63"/>
      <c r="C586" s="136"/>
      <c r="D586" s="174"/>
      <c r="E586" s="156"/>
      <c r="F586" s="156"/>
      <c r="G586" s="156"/>
      <c r="H586" s="671"/>
      <c r="I586" s="156"/>
      <c r="J586" s="671"/>
      <c r="K586" s="156"/>
      <c r="L586" s="156"/>
      <c r="M586" s="671"/>
      <c r="N586" s="156"/>
      <c r="O586" s="671"/>
      <c r="P586" s="156"/>
      <c r="Q586" s="156"/>
      <c r="R586" s="156"/>
      <c r="S586" s="156"/>
      <c r="T586" s="156"/>
      <c r="U586" s="156"/>
      <c r="V586" s="671"/>
      <c r="W586" s="156"/>
      <c r="X586" s="671"/>
      <c r="Y586" s="671"/>
      <c r="Z586" s="156"/>
      <c r="AA586" s="156"/>
      <c r="AB586" s="156"/>
      <c r="AC586" s="738"/>
      <c r="AD586" s="738"/>
      <c r="AE586" s="138"/>
      <c r="AF586" s="138"/>
      <c r="AG586" s="738"/>
      <c r="AH586" s="138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</row>
    <row r="587" spans="2:49" s="64" customFormat="1">
      <c r="B587" s="63"/>
      <c r="C587" s="136"/>
      <c r="D587" s="174"/>
      <c r="E587" s="156"/>
      <c r="F587" s="156"/>
      <c r="G587" s="156"/>
      <c r="H587" s="671"/>
      <c r="I587" s="156"/>
      <c r="J587" s="671"/>
      <c r="K587" s="156"/>
      <c r="L587" s="156"/>
      <c r="M587" s="671"/>
      <c r="N587" s="156"/>
      <c r="O587" s="671"/>
      <c r="P587" s="156"/>
      <c r="Q587" s="156"/>
      <c r="R587" s="156"/>
      <c r="S587" s="156"/>
      <c r="T587" s="156"/>
      <c r="U587" s="156"/>
      <c r="V587" s="671"/>
      <c r="W587" s="156"/>
      <c r="X587" s="671"/>
      <c r="Y587" s="671"/>
      <c r="Z587" s="156"/>
      <c r="AA587" s="156"/>
      <c r="AB587" s="156"/>
      <c r="AC587" s="738"/>
      <c r="AD587" s="738"/>
      <c r="AE587" s="138"/>
      <c r="AF587" s="138"/>
      <c r="AG587" s="738"/>
      <c r="AH587" s="138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</row>
    <row r="588" spans="2:49" s="64" customFormat="1">
      <c r="B588" s="63"/>
      <c r="C588" s="136"/>
      <c r="D588" s="174"/>
      <c r="E588" s="156"/>
      <c r="F588" s="156"/>
      <c r="G588" s="156"/>
      <c r="H588" s="671"/>
      <c r="I588" s="156"/>
      <c r="J588" s="671"/>
      <c r="K588" s="156"/>
      <c r="L588" s="156"/>
      <c r="M588" s="671"/>
      <c r="N588" s="156"/>
      <c r="O588" s="671"/>
      <c r="P588" s="156"/>
      <c r="Q588" s="156"/>
      <c r="R588" s="156"/>
      <c r="S588" s="156"/>
      <c r="T588" s="156"/>
      <c r="U588" s="156"/>
      <c r="V588" s="671"/>
      <c r="W588" s="156"/>
      <c r="X588" s="671"/>
      <c r="Y588" s="671"/>
      <c r="Z588" s="156"/>
      <c r="AA588" s="156"/>
      <c r="AB588" s="156"/>
      <c r="AC588" s="738"/>
      <c r="AD588" s="738"/>
      <c r="AE588" s="138"/>
      <c r="AF588" s="138"/>
      <c r="AG588" s="738"/>
      <c r="AH588" s="138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</row>
    <row r="589" spans="2:49" s="64" customFormat="1">
      <c r="B589" s="63"/>
      <c r="C589" s="136"/>
      <c r="D589" s="174"/>
      <c r="E589" s="156"/>
      <c r="F589" s="156"/>
      <c r="G589" s="156"/>
      <c r="H589" s="671"/>
      <c r="I589" s="156"/>
      <c r="J589" s="671"/>
      <c r="K589" s="156"/>
      <c r="L589" s="156"/>
      <c r="M589" s="671"/>
      <c r="N589" s="156"/>
      <c r="O589" s="671"/>
      <c r="P589" s="156"/>
      <c r="Q589" s="156"/>
      <c r="R589" s="156"/>
      <c r="S589" s="156"/>
      <c r="T589" s="156"/>
      <c r="U589" s="156"/>
      <c r="V589" s="671"/>
      <c r="W589" s="156"/>
      <c r="X589" s="671"/>
      <c r="Y589" s="671"/>
      <c r="Z589" s="156"/>
      <c r="AA589" s="156"/>
      <c r="AB589" s="156"/>
      <c r="AC589" s="738"/>
      <c r="AD589" s="738"/>
      <c r="AE589" s="138"/>
      <c r="AF589" s="138"/>
      <c r="AG589" s="738"/>
      <c r="AH589" s="138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</row>
    <row r="590" spans="2:49" s="64" customFormat="1">
      <c r="B590" s="63"/>
      <c r="C590" s="136"/>
      <c r="D590" s="174"/>
      <c r="E590" s="156"/>
      <c r="F590" s="156"/>
      <c r="G590" s="156"/>
      <c r="H590" s="671"/>
      <c r="I590" s="156"/>
      <c r="J590" s="671"/>
      <c r="K590" s="156"/>
      <c r="L590" s="156"/>
      <c r="M590" s="671"/>
      <c r="N590" s="156"/>
      <c r="O590" s="671"/>
      <c r="P590" s="156"/>
      <c r="Q590" s="156"/>
      <c r="R590" s="156"/>
      <c r="S590" s="156"/>
      <c r="T590" s="156"/>
      <c r="U590" s="156"/>
      <c r="V590" s="671"/>
      <c r="W590" s="156"/>
      <c r="X590" s="671"/>
      <c r="Y590" s="671"/>
      <c r="Z590" s="156"/>
      <c r="AA590" s="156"/>
      <c r="AB590" s="156"/>
      <c r="AC590" s="738"/>
      <c r="AD590" s="738"/>
      <c r="AE590" s="138"/>
      <c r="AF590" s="138"/>
      <c r="AG590" s="738"/>
      <c r="AH590" s="138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</row>
    <row r="591" spans="2:49" s="64" customFormat="1">
      <c r="B591" s="63"/>
      <c r="C591" s="136"/>
      <c r="D591" s="174"/>
      <c r="E591" s="156"/>
      <c r="F591" s="156"/>
      <c r="G591" s="156"/>
      <c r="H591" s="671"/>
      <c r="I591" s="156"/>
      <c r="J591" s="671"/>
      <c r="K591" s="156"/>
      <c r="L591" s="156"/>
      <c r="M591" s="671"/>
      <c r="N591" s="156"/>
      <c r="O591" s="671"/>
      <c r="P591" s="156"/>
      <c r="Q591" s="156"/>
      <c r="R591" s="156"/>
      <c r="S591" s="156"/>
      <c r="T591" s="156"/>
      <c r="U591" s="156"/>
      <c r="V591" s="671"/>
      <c r="W591" s="156"/>
      <c r="X591" s="671"/>
      <c r="Y591" s="671"/>
      <c r="Z591" s="156"/>
      <c r="AA591" s="156"/>
      <c r="AB591" s="156"/>
      <c r="AC591" s="738"/>
      <c r="AD591" s="738"/>
      <c r="AE591" s="138"/>
      <c r="AF591" s="138"/>
      <c r="AG591" s="738"/>
      <c r="AH591" s="138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</row>
    <row r="592" spans="2:49" s="64" customFormat="1">
      <c r="B592" s="63"/>
      <c r="C592" s="136"/>
      <c r="D592" s="174"/>
      <c r="E592" s="156"/>
      <c r="F592" s="156"/>
      <c r="G592" s="156"/>
      <c r="H592" s="671"/>
      <c r="I592" s="156"/>
      <c r="J592" s="671"/>
      <c r="K592" s="156"/>
      <c r="L592" s="156"/>
      <c r="M592" s="671"/>
      <c r="N592" s="156"/>
      <c r="O592" s="671"/>
      <c r="P592" s="156"/>
      <c r="Q592" s="156"/>
      <c r="R592" s="156"/>
      <c r="S592" s="156"/>
      <c r="T592" s="156"/>
      <c r="U592" s="156"/>
      <c r="V592" s="671"/>
      <c r="W592" s="156"/>
      <c r="X592" s="671"/>
      <c r="Y592" s="671"/>
      <c r="Z592" s="156"/>
      <c r="AA592" s="156"/>
      <c r="AB592" s="156"/>
      <c r="AC592" s="738"/>
      <c r="AD592" s="738"/>
      <c r="AE592" s="138"/>
      <c r="AF592" s="138"/>
      <c r="AG592" s="738"/>
      <c r="AH592" s="138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</row>
    <row r="593" spans="2:49" s="64" customFormat="1">
      <c r="B593" s="63"/>
      <c r="C593" s="136"/>
      <c r="D593" s="174"/>
      <c r="E593" s="156"/>
      <c r="F593" s="156"/>
      <c r="G593" s="156"/>
      <c r="H593" s="671"/>
      <c r="I593" s="156"/>
      <c r="J593" s="671"/>
      <c r="K593" s="156"/>
      <c r="L593" s="156"/>
      <c r="M593" s="671"/>
      <c r="N593" s="156"/>
      <c r="O593" s="671"/>
      <c r="P593" s="156"/>
      <c r="Q593" s="156"/>
      <c r="R593" s="156"/>
      <c r="S593" s="156"/>
      <c r="T593" s="156"/>
      <c r="U593" s="156"/>
      <c r="V593" s="671"/>
      <c r="W593" s="156"/>
      <c r="X593" s="671"/>
      <c r="Y593" s="671"/>
      <c r="Z593" s="156"/>
      <c r="AA593" s="156"/>
      <c r="AB593" s="156"/>
      <c r="AC593" s="153"/>
      <c r="AD593" s="153"/>
      <c r="AE593" s="138"/>
      <c r="AF593" s="138"/>
      <c r="AG593" s="140"/>
      <c r="AH593" s="138"/>
      <c r="AI593" s="141"/>
      <c r="AJ593" s="141"/>
      <c r="AK593" s="141"/>
      <c r="AL593" s="141"/>
      <c r="AM593" s="141"/>
      <c r="AN593" s="141"/>
      <c r="AO593" s="154"/>
      <c r="AP593" s="141"/>
      <c r="AQ593" s="154"/>
      <c r="AR593" s="154"/>
      <c r="AS593" s="141"/>
      <c r="AT593" s="141"/>
      <c r="AU593" s="141"/>
      <c r="AV593" s="141"/>
      <c r="AW593" s="141"/>
    </row>
    <row r="594" spans="2:49" s="64" customFormat="1">
      <c r="B594" s="63"/>
      <c r="C594" s="136"/>
      <c r="D594" s="174"/>
      <c r="E594" s="156"/>
      <c r="F594" s="156"/>
      <c r="G594" s="156"/>
      <c r="H594" s="671"/>
      <c r="I594" s="156"/>
      <c r="J594" s="671"/>
      <c r="K594" s="156"/>
      <c r="L594" s="156"/>
      <c r="M594" s="671"/>
      <c r="N594" s="156"/>
      <c r="O594" s="671"/>
      <c r="P594" s="156"/>
      <c r="Q594" s="156"/>
      <c r="R594" s="156"/>
      <c r="S594" s="156"/>
      <c r="T594" s="156"/>
      <c r="U594" s="156"/>
      <c r="V594" s="671"/>
      <c r="W594" s="156"/>
      <c r="X594" s="671"/>
      <c r="Y594" s="671"/>
      <c r="Z594" s="156"/>
      <c r="AA594" s="156"/>
      <c r="AB594" s="156"/>
      <c r="AC594" s="153"/>
      <c r="AD594" s="153"/>
      <c r="AE594" s="138"/>
      <c r="AF594" s="138"/>
      <c r="AG594" s="140"/>
      <c r="AH594" s="138"/>
      <c r="AI594" s="141"/>
      <c r="AJ594" s="141"/>
      <c r="AK594" s="141"/>
      <c r="AL594" s="141"/>
      <c r="AM594" s="141"/>
      <c r="AN594" s="141"/>
      <c r="AO594" s="154"/>
      <c r="AP594" s="141"/>
      <c r="AQ594" s="154"/>
      <c r="AR594" s="154"/>
      <c r="AS594" s="141"/>
      <c r="AT594" s="141"/>
      <c r="AU594" s="141"/>
      <c r="AV594" s="141"/>
      <c r="AW594" s="141"/>
    </row>
    <row r="595" spans="2:49" s="64" customFormat="1">
      <c r="B595" s="63"/>
      <c r="C595" s="136"/>
      <c r="D595" s="174"/>
      <c r="E595" s="156"/>
      <c r="F595" s="156"/>
      <c r="G595" s="156"/>
      <c r="H595" s="671"/>
      <c r="I595" s="156"/>
      <c r="J595" s="671"/>
      <c r="K595" s="156"/>
      <c r="L595" s="156"/>
      <c r="M595" s="671"/>
      <c r="N595" s="156"/>
      <c r="O595" s="671"/>
      <c r="P595" s="156"/>
      <c r="Q595" s="156"/>
      <c r="R595" s="156"/>
      <c r="S595" s="156"/>
      <c r="T595" s="156"/>
      <c r="U595" s="156"/>
      <c r="V595" s="671"/>
      <c r="W595" s="156"/>
      <c r="X595" s="671"/>
      <c r="Y595" s="671"/>
      <c r="Z595" s="156"/>
      <c r="AA595" s="156"/>
      <c r="AB595" s="156"/>
      <c r="AC595" s="153"/>
      <c r="AD595" s="153"/>
      <c r="AE595" s="138"/>
      <c r="AF595" s="138"/>
      <c r="AG595" s="140"/>
      <c r="AH595" s="138"/>
      <c r="AI595" s="141"/>
      <c r="AJ595" s="141"/>
      <c r="AK595" s="141"/>
      <c r="AL595" s="141"/>
      <c r="AM595" s="141"/>
      <c r="AN595" s="141"/>
      <c r="AO595" s="154"/>
      <c r="AP595" s="141"/>
      <c r="AQ595" s="154"/>
      <c r="AR595" s="154"/>
      <c r="AS595" s="141"/>
      <c r="AT595" s="141"/>
      <c r="AU595" s="141"/>
      <c r="AV595" s="141"/>
      <c r="AW595" s="141"/>
    </row>
    <row r="596" spans="2:49" s="64" customFormat="1">
      <c r="B596" s="63"/>
      <c r="C596" s="136"/>
      <c r="D596" s="174"/>
      <c r="E596" s="156"/>
      <c r="F596" s="156"/>
      <c r="G596" s="156"/>
      <c r="H596" s="671"/>
      <c r="I596" s="156"/>
      <c r="J596" s="671"/>
      <c r="K596" s="156"/>
      <c r="L596" s="156"/>
      <c r="M596" s="671"/>
      <c r="N596" s="156"/>
      <c r="O596" s="671"/>
      <c r="P596" s="156"/>
      <c r="Q596" s="156"/>
      <c r="R596" s="156"/>
      <c r="S596" s="156"/>
      <c r="T596" s="156"/>
      <c r="U596" s="156"/>
      <c r="V596" s="671"/>
      <c r="W596" s="156"/>
      <c r="X596" s="671"/>
      <c r="Y596" s="671"/>
      <c r="Z596" s="156"/>
      <c r="AA596" s="156"/>
      <c r="AB596" s="156"/>
      <c r="AC596" s="153"/>
      <c r="AD596" s="153"/>
      <c r="AE596" s="138"/>
      <c r="AF596" s="138"/>
      <c r="AG596" s="140"/>
      <c r="AH596" s="138"/>
      <c r="AI596" s="141"/>
      <c r="AJ596" s="141"/>
      <c r="AK596" s="141"/>
      <c r="AL596" s="141"/>
      <c r="AM596" s="141"/>
      <c r="AN596" s="141"/>
      <c r="AO596" s="154"/>
      <c r="AP596" s="141"/>
      <c r="AQ596" s="154"/>
      <c r="AR596" s="154"/>
      <c r="AS596" s="141"/>
      <c r="AT596" s="141"/>
      <c r="AU596" s="141"/>
      <c r="AV596" s="141"/>
      <c r="AW596" s="141"/>
    </row>
    <row r="597" spans="2:49" s="64" customFormat="1">
      <c r="B597" s="63"/>
      <c r="C597" s="136"/>
      <c r="D597" s="174"/>
      <c r="E597" s="156"/>
      <c r="F597" s="156"/>
      <c r="G597" s="156"/>
      <c r="H597" s="671"/>
      <c r="I597" s="156"/>
      <c r="J597" s="671"/>
      <c r="K597" s="156"/>
      <c r="L597" s="156"/>
      <c r="M597" s="671"/>
      <c r="N597" s="156"/>
      <c r="O597" s="671"/>
      <c r="P597" s="156"/>
      <c r="Q597" s="156"/>
      <c r="R597" s="156"/>
      <c r="S597" s="156"/>
      <c r="T597" s="156"/>
      <c r="U597" s="156"/>
      <c r="V597" s="671"/>
      <c r="W597" s="156"/>
      <c r="X597" s="671"/>
      <c r="Y597" s="671"/>
      <c r="Z597" s="156"/>
      <c r="AA597" s="156"/>
      <c r="AB597" s="156"/>
      <c r="AC597" s="153"/>
      <c r="AD597" s="153"/>
      <c r="AE597" s="138"/>
      <c r="AF597" s="138"/>
      <c r="AG597" s="140"/>
      <c r="AH597" s="138"/>
      <c r="AI597" s="141"/>
      <c r="AJ597" s="141"/>
      <c r="AK597" s="141"/>
      <c r="AL597" s="141"/>
      <c r="AM597" s="141"/>
      <c r="AN597" s="141"/>
      <c r="AO597" s="154"/>
      <c r="AP597" s="141"/>
      <c r="AQ597" s="154"/>
      <c r="AR597" s="154"/>
      <c r="AS597" s="141"/>
      <c r="AT597" s="141"/>
      <c r="AU597" s="141"/>
      <c r="AV597" s="141"/>
      <c r="AW597" s="141"/>
    </row>
    <row r="598" spans="2:49" s="64" customFormat="1">
      <c r="B598" s="63"/>
      <c r="C598" s="136"/>
      <c r="D598" s="174"/>
      <c r="E598" s="156"/>
      <c r="F598" s="156"/>
      <c r="G598" s="156"/>
      <c r="H598" s="671"/>
      <c r="I598" s="156"/>
      <c r="J598" s="671"/>
      <c r="K598" s="156"/>
      <c r="L598" s="156"/>
      <c r="M598" s="671"/>
      <c r="N598" s="156"/>
      <c r="O598" s="671"/>
      <c r="P598" s="156"/>
      <c r="Q598" s="156"/>
      <c r="R598" s="156"/>
      <c r="S598" s="156"/>
      <c r="T598" s="156"/>
      <c r="U598" s="156"/>
      <c r="V598" s="671"/>
      <c r="W598" s="156"/>
      <c r="X598" s="671"/>
      <c r="Y598" s="671"/>
      <c r="Z598" s="156"/>
      <c r="AA598" s="156"/>
      <c r="AB598" s="156"/>
      <c r="AC598" s="153"/>
      <c r="AD598" s="153"/>
      <c r="AE598" s="138"/>
      <c r="AF598" s="138"/>
      <c r="AG598" s="140"/>
      <c r="AH598" s="138"/>
      <c r="AI598" s="141"/>
      <c r="AJ598" s="141"/>
      <c r="AK598" s="141"/>
      <c r="AL598" s="141"/>
      <c r="AM598" s="141"/>
      <c r="AN598" s="141"/>
      <c r="AO598" s="154"/>
      <c r="AP598" s="141"/>
      <c r="AQ598" s="154"/>
      <c r="AR598" s="154"/>
      <c r="AS598" s="141"/>
      <c r="AT598" s="141"/>
      <c r="AU598" s="141"/>
      <c r="AV598" s="141"/>
      <c r="AW598" s="141"/>
    </row>
    <row r="599" spans="2:49" s="64" customFormat="1">
      <c r="B599" s="63"/>
      <c r="C599" s="136"/>
      <c r="D599" s="174"/>
      <c r="E599" s="156"/>
      <c r="F599" s="156"/>
      <c r="G599" s="156"/>
      <c r="H599" s="671"/>
      <c r="I599" s="156"/>
      <c r="J599" s="671"/>
      <c r="K599" s="156"/>
      <c r="L599" s="156"/>
      <c r="M599" s="671"/>
      <c r="N599" s="156"/>
      <c r="O599" s="671"/>
      <c r="P599" s="156"/>
      <c r="Q599" s="156"/>
      <c r="R599" s="156"/>
      <c r="S599" s="156"/>
      <c r="T599" s="156"/>
      <c r="U599" s="156"/>
      <c r="V599" s="671"/>
      <c r="W599" s="156"/>
      <c r="X599" s="671"/>
      <c r="Y599" s="671"/>
      <c r="Z599" s="156"/>
      <c r="AA599" s="156"/>
      <c r="AB599" s="156"/>
      <c r="AC599" s="153"/>
      <c r="AD599" s="153"/>
      <c r="AE599" s="138"/>
      <c r="AF599" s="138"/>
      <c r="AG599" s="140"/>
      <c r="AH599" s="138"/>
      <c r="AI599" s="141"/>
      <c r="AJ599" s="141"/>
      <c r="AK599" s="141"/>
      <c r="AL599" s="141"/>
      <c r="AM599" s="141"/>
      <c r="AN599" s="141"/>
      <c r="AO599" s="154"/>
      <c r="AP599" s="141"/>
      <c r="AQ599" s="154"/>
      <c r="AR599" s="154"/>
      <c r="AS599" s="141"/>
      <c r="AT599" s="141"/>
      <c r="AU599" s="141"/>
      <c r="AV599" s="141"/>
      <c r="AW599" s="141"/>
    </row>
    <row r="600" spans="2:49" s="64" customFormat="1">
      <c r="B600" s="84"/>
      <c r="C600" s="137"/>
      <c r="D600" s="178"/>
      <c r="E600" s="163"/>
      <c r="F600" s="163"/>
      <c r="G600" s="163"/>
      <c r="H600" s="739"/>
      <c r="I600" s="163"/>
      <c r="J600" s="739"/>
      <c r="K600" s="163"/>
      <c r="L600" s="163"/>
      <c r="M600" s="739"/>
      <c r="N600" s="163"/>
      <c r="O600" s="739"/>
      <c r="P600" s="163"/>
      <c r="Q600" s="163"/>
      <c r="R600" s="163"/>
      <c r="S600" s="156"/>
      <c r="T600" s="156"/>
      <c r="U600" s="163"/>
      <c r="V600" s="740"/>
      <c r="W600" s="163"/>
      <c r="X600" s="740"/>
      <c r="Y600" s="740"/>
      <c r="Z600" s="163"/>
      <c r="AA600" s="163"/>
      <c r="AB600" s="163"/>
      <c r="AC600" s="139"/>
      <c r="AD600" s="139"/>
      <c r="AE600" s="155"/>
      <c r="AF600" s="155"/>
      <c r="AG600" s="140"/>
      <c r="AH600" s="138"/>
      <c r="AI600" s="141"/>
      <c r="AJ600" s="141"/>
      <c r="AK600" s="141"/>
      <c r="AL600" s="141"/>
      <c r="AM600" s="141"/>
      <c r="AN600" s="141"/>
      <c r="AO600" s="154"/>
      <c r="AP600" s="141"/>
      <c r="AQ600" s="154"/>
      <c r="AR600" s="154"/>
      <c r="AS600" s="141"/>
      <c r="AT600" s="141"/>
      <c r="AU600" s="141"/>
      <c r="AV600" s="141"/>
      <c r="AW600" s="141"/>
    </row>
    <row r="601" spans="2:49" s="64" customFormat="1">
      <c r="B601" s="84"/>
      <c r="C601" s="137"/>
      <c r="D601" s="178"/>
      <c r="E601" s="163"/>
      <c r="F601" s="163"/>
      <c r="G601" s="163"/>
      <c r="H601" s="739"/>
      <c r="I601" s="163"/>
      <c r="J601" s="739"/>
      <c r="K601" s="163"/>
      <c r="L601" s="163"/>
      <c r="M601" s="739"/>
      <c r="N601" s="163"/>
      <c r="O601" s="739"/>
      <c r="P601" s="163"/>
      <c r="Q601" s="163"/>
      <c r="R601" s="163"/>
      <c r="S601" s="156"/>
      <c r="T601" s="156"/>
      <c r="U601" s="163"/>
      <c r="V601" s="740"/>
      <c r="W601" s="163"/>
      <c r="X601" s="740"/>
      <c r="Y601" s="740"/>
      <c r="Z601" s="163"/>
      <c r="AA601" s="163"/>
      <c r="AB601" s="163"/>
      <c r="AC601" s="139"/>
      <c r="AD601" s="139"/>
      <c r="AE601" s="155"/>
      <c r="AF601" s="155"/>
      <c r="AG601" s="140"/>
      <c r="AH601" s="138"/>
      <c r="AI601" s="141"/>
      <c r="AJ601" s="141"/>
      <c r="AK601" s="141"/>
      <c r="AL601" s="141"/>
      <c r="AM601" s="141"/>
      <c r="AN601" s="141"/>
      <c r="AO601" s="154"/>
      <c r="AP601" s="141"/>
      <c r="AQ601" s="154"/>
      <c r="AR601" s="154"/>
      <c r="AS601" s="141"/>
      <c r="AT601" s="141"/>
      <c r="AU601" s="141"/>
      <c r="AV601" s="141"/>
      <c r="AW601" s="141"/>
    </row>
    <row r="602" spans="2:49" s="64" customFormat="1">
      <c r="B602" s="84"/>
      <c r="C602" s="137"/>
      <c r="D602" s="178"/>
      <c r="E602" s="163"/>
      <c r="F602" s="163"/>
      <c r="G602" s="163"/>
      <c r="H602" s="739"/>
      <c r="I602" s="163"/>
      <c r="J602" s="739"/>
      <c r="K602" s="163"/>
      <c r="L602" s="163"/>
      <c r="M602" s="739"/>
      <c r="N602" s="163"/>
      <c r="O602" s="739"/>
      <c r="P602" s="163"/>
      <c r="Q602" s="163"/>
      <c r="R602" s="163"/>
      <c r="S602" s="156"/>
      <c r="T602" s="156"/>
      <c r="U602" s="163"/>
      <c r="V602" s="740"/>
      <c r="W602" s="163"/>
      <c r="X602" s="740"/>
      <c r="Y602" s="740"/>
      <c r="Z602" s="163"/>
      <c r="AA602" s="163"/>
      <c r="AB602" s="163"/>
      <c r="AC602" s="139"/>
      <c r="AD602" s="139"/>
      <c r="AE602" s="155"/>
      <c r="AF602" s="155"/>
      <c r="AG602" s="140"/>
      <c r="AH602" s="138"/>
      <c r="AI602" s="141"/>
      <c r="AJ602" s="141"/>
      <c r="AK602" s="141"/>
      <c r="AL602" s="141"/>
      <c r="AM602" s="141"/>
      <c r="AN602" s="141"/>
      <c r="AO602" s="154"/>
      <c r="AP602" s="141"/>
      <c r="AQ602" s="154"/>
      <c r="AR602" s="154"/>
      <c r="AS602" s="141"/>
      <c r="AT602" s="141"/>
      <c r="AU602" s="141"/>
      <c r="AV602" s="141"/>
      <c r="AW602" s="141"/>
    </row>
    <row r="603" spans="2:49" s="64" customFormat="1">
      <c r="B603" s="84"/>
      <c r="C603" s="137"/>
      <c r="D603" s="178"/>
      <c r="E603" s="163"/>
      <c r="F603" s="163"/>
      <c r="G603" s="163"/>
      <c r="H603" s="739"/>
      <c r="I603" s="163"/>
      <c r="J603" s="739"/>
      <c r="K603" s="163"/>
      <c r="L603" s="163"/>
      <c r="M603" s="739"/>
      <c r="N603" s="163"/>
      <c r="O603" s="739"/>
      <c r="P603" s="163"/>
      <c r="Q603" s="163"/>
      <c r="R603" s="163"/>
      <c r="S603" s="156"/>
      <c r="T603" s="156"/>
      <c r="U603" s="163"/>
      <c r="V603" s="740"/>
      <c r="W603" s="163"/>
      <c r="X603" s="740"/>
      <c r="Y603" s="740"/>
      <c r="Z603" s="163"/>
      <c r="AA603" s="163"/>
      <c r="AB603" s="163"/>
      <c r="AC603" s="139"/>
      <c r="AD603" s="139"/>
      <c r="AE603" s="155"/>
      <c r="AF603" s="155"/>
      <c r="AG603" s="140"/>
      <c r="AH603" s="138"/>
      <c r="AI603" s="141"/>
      <c r="AJ603" s="141"/>
      <c r="AK603" s="141"/>
      <c r="AL603" s="141"/>
      <c r="AM603" s="141"/>
      <c r="AN603" s="141"/>
      <c r="AO603" s="154"/>
      <c r="AP603" s="141"/>
      <c r="AQ603" s="154"/>
      <c r="AR603" s="154"/>
      <c r="AS603" s="141"/>
      <c r="AT603" s="141"/>
      <c r="AU603" s="141"/>
      <c r="AV603" s="141"/>
      <c r="AW603" s="141"/>
    </row>
    <row r="604" spans="2:49" s="64" customFormat="1">
      <c r="B604" s="84"/>
      <c r="C604" s="137"/>
      <c r="D604" s="178"/>
      <c r="E604" s="163"/>
      <c r="F604" s="163"/>
      <c r="G604" s="163"/>
      <c r="H604" s="739"/>
      <c r="I604" s="163"/>
      <c r="J604" s="739"/>
      <c r="K604" s="163"/>
      <c r="L604" s="163"/>
      <c r="M604" s="739"/>
      <c r="N604" s="163"/>
      <c r="O604" s="739"/>
      <c r="P604" s="163"/>
      <c r="Q604" s="163"/>
      <c r="R604" s="163"/>
      <c r="S604" s="156"/>
      <c r="T604" s="156"/>
      <c r="U604" s="163"/>
      <c r="V604" s="740"/>
      <c r="W604" s="163"/>
      <c r="X604" s="740"/>
      <c r="Y604" s="740"/>
      <c r="Z604" s="163"/>
      <c r="AA604" s="163"/>
      <c r="AB604" s="163"/>
      <c r="AC604" s="139"/>
      <c r="AD604" s="139"/>
      <c r="AE604" s="155"/>
      <c r="AF604" s="155"/>
      <c r="AG604" s="140"/>
      <c r="AH604" s="138"/>
      <c r="AI604" s="141"/>
      <c r="AJ604" s="141"/>
      <c r="AK604" s="141"/>
      <c r="AL604" s="141"/>
      <c r="AM604" s="141"/>
      <c r="AN604" s="141"/>
      <c r="AO604" s="154"/>
      <c r="AP604" s="141"/>
      <c r="AQ604" s="154"/>
      <c r="AR604" s="154"/>
      <c r="AS604" s="141"/>
      <c r="AT604" s="141"/>
      <c r="AU604" s="141"/>
      <c r="AV604" s="141"/>
      <c r="AW604" s="141"/>
    </row>
    <row r="605" spans="2:49" s="64" customFormat="1">
      <c r="B605" s="84"/>
      <c r="C605" s="137"/>
      <c r="D605" s="178"/>
      <c r="E605" s="163"/>
      <c r="F605" s="163"/>
      <c r="G605" s="163"/>
      <c r="H605" s="739"/>
      <c r="I605" s="163"/>
      <c r="J605" s="739"/>
      <c r="K605" s="163"/>
      <c r="L605" s="163"/>
      <c r="M605" s="739"/>
      <c r="N605" s="163"/>
      <c r="O605" s="739"/>
      <c r="P605" s="163"/>
      <c r="Q605" s="163"/>
      <c r="R605" s="163"/>
      <c r="S605" s="156"/>
      <c r="T605" s="156"/>
      <c r="U605" s="163"/>
      <c r="V605" s="740"/>
      <c r="W605" s="163"/>
      <c r="X605" s="740"/>
      <c r="Y605" s="740"/>
      <c r="Z605" s="163"/>
      <c r="AA605" s="163"/>
      <c r="AB605" s="163"/>
      <c r="AC605" s="139"/>
      <c r="AD605" s="139"/>
      <c r="AE605" s="155"/>
      <c r="AF605" s="155"/>
      <c r="AG605" s="140"/>
      <c r="AH605" s="138"/>
      <c r="AI605" s="141"/>
      <c r="AJ605" s="141"/>
      <c r="AK605" s="141"/>
      <c r="AL605" s="141"/>
      <c r="AM605" s="141"/>
      <c r="AN605" s="141"/>
      <c r="AO605" s="154"/>
      <c r="AP605" s="141"/>
      <c r="AQ605" s="154"/>
      <c r="AR605" s="154"/>
      <c r="AS605" s="141"/>
      <c r="AT605" s="141"/>
      <c r="AU605" s="141"/>
      <c r="AV605" s="141"/>
      <c r="AW605" s="141"/>
    </row>
    <row r="606" spans="2:49" s="64" customFormat="1">
      <c r="B606" s="84"/>
      <c r="C606" s="137"/>
      <c r="D606" s="178"/>
      <c r="E606" s="163"/>
      <c r="F606" s="163"/>
      <c r="G606" s="163"/>
      <c r="H606" s="739"/>
      <c r="I606" s="163"/>
      <c r="J606" s="739"/>
      <c r="K606" s="163"/>
      <c r="L606" s="163"/>
      <c r="M606" s="739"/>
      <c r="N606" s="163"/>
      <c r="O606" s="739"/>
      <c r="P606" s="163"/>
      <c r="Q606" s="163"/>
      <c r="R606" s="163"/>
      <c r="S606" s="156"/>
      <c r="T606" s="156"/>
      <c r="U606" s="163"/>
      <c r="V606" s="740"/>
      <c r="W606" s="163"/>
      <c r="X606" s="740"/>
      <c r="Y606" s="740"/>
      <c r="Z606" s="163"/>
      <c r="AA606" s="163"/>
      <c r="AB606" s="163"/>
      <c r="AC606" s="139"/>
      <c r="AD606" s="139"/>
      <c r="AE606" s="155"/>
      <c r="AF606" s="155"/>
      <c r="AG606" s="140"/>
      <c r="AH606" s="138"/>
      <c r="AI606" s="141"/>
      <c r="AJ606" s="141"/>
      <c r="AK606" s="141"/>
      <c r="AL606" s="141"/>
      <c r="AM606" s="141"/>
      <c r="AN606" s="141"/>
      <c r="AO606" s="154"/>
      <c r="AP606" s="141"/>
      <c r="AQ606" s="154"/>
      <c r="AR606" s="154"/>
      <c r="AS606" s="141"/>
      <c r="AT606" s="141"/>
      <c r="AU606" s="141"/>
      <c r="AV606" s="141"/>
      <c r="AW606" s="141"/>
    </row>
    <row r="607" spans="2:49" s="64" customFormat="1">
      <c r="B607" s="84"/>
      <c r="C607" s="137"/>
      <c r="D607" s="178"/>
      <c r="E607" s="163"/>
      <c r="F607" s="163"/>
      <c r="G607" s="163"/>
      <c r="H607" s="739"/>
      <c r="I607" s="163"/>
      <c r="J607" s="739"/>
      <c r="K607" s="163"/>
      <c r="L607" s="163"/>
      <c r="M607" s="739"/>
      <c r="N607" s="163"/>
      <c r="O607" s="739"/>
      <c r="P607" s="163"/>
      <c r="Q607" s="163"/>
      <c r="R607" s="163"/>
      <c r="S607" s="156"/>
      <c r="T607" s="156"/>
      <c r="U607" s="163"/>
      <c r="V607" s="740"/>
      <c r="W607" s="163"/>
      <c r="X607" s="740"/>
      <c r="Y607" s="740"/>
      <c r="Z607" s="163"/>
      <c r="AA607" s="163"/>
      <c r="AB607" s="163"/>
      <c r="AC607" s="139"/>
      <c r="AD607" s="139"/>
      <c r="AE607" s="155"/>
      <c r="AF607" s="155"/>
      <c r="AG607" s="140"/>
      <c r="AH607" s="138"/>
      <c r="AI607" s="141"/>
      <c r="AJ607" s="141"/>
      <c r="AK607" s="141"/>
      <c r="AL607" s="141"/>
      <c r="AM607" s="141"/>
      <c r="AN607" s="141"/>
      <c r="AO607" s="154"/>
      <c r="AP607" s="141"/>
      <c r="AQ607" s="154"/>
      <c r="AR607" s="154"/>
      <c r="AS607" s="141"/>
      <c r="AT607" s="141"/>
      <c r="AU607" s="141"/>
      <c r="AV607" s="141"/>
      <c r="AW607" s="141"/>
    </row>
    <row r="608" spans="2:49" s="64" customFormat="1">
      <c r="B608" s="84"/>
      <c r="C608" s="137"/>
      <c r="D608" s="178"/>
      <c r="E608" s="163"/>
      <c r="F608" s="163"/>
      <c r="G608" s="163"/>
      <c r="H608" s="739"/>
      <c r="I608" s="163"/>
      <c r="J608" s="739"/>
      <c r="K608" s="163"/>
      <c r="L608" s="163"/>
      <c r="M608" s="739"/>
      <c r="N608" s="163"/>
      <c r="O608" s="739"/>
      <c r="P608" s="163"/>
      <c r="Q608" s="163"/>
      <c r="R608" s="163"/>
      <c r="S608" s="156"/>
      <c r="T608" s="156"/>
      <c r="U608" s="163"/>
      <c r="V608" s="740"/>
      <c r="W608" s="163"/>
      <c r="X608" s="740"/>
      <c r="Y608" s="740"/>
      <c r="Z608" s="163"/>
      <c r="AA608" s="163"/>
      <c r="AB608" s="163"/>
      <c r="AC608" s="139"/>
      <c r="AD608" s="139"/>
      <c r="AE608" s="155"/>
      <c r="AF608" s="155"/>
      <c r="AG608" s="140"/>
      <c r="AH608" s="138"/>
      <c r="AI608" s="141"/>
      <c r="AJ608" s="141"/>
      <c r="AK608" s="141"/>
      <c r="AL608" s="141"/>
      <c r="AM608" s="141"/>
      <c r="AN608" s="141"/>
      <c r="AO608" s="154"/>
      <c r="AP608" s="141"/>
      <c r="AQ608" s="154"/>
      <c r="AR608" s="154"/>
      <c r="AS608" s="141"/>
      <c r="AT608" s="141"/>
      <c r="AU608" s="141"/>
      <c r="AV608" s="141"/>
      <c r="AW608" s="141"/>
    </row>
    <row r="609" spans="2:49" s="64" customFormat="1" ht="33.75" customHeight="1">
      <c r="B609" s="84"/>
      <c r="C609" s="137"/>
      <c r="D609" s="178"/>
      <c r="E609" s="163"/>
      <c r="F609" s="163"/>
      <c r="G609" s="163"/>
      <c r="H609" s="739"/>
      <c r="I609" s="163"/>
      <c r="J609" s="739"/>
      <c r="K609" s="163"/>
      <c r="L609" s="163"/>
      <c r="M609" s="739"/>
      <c r="N609" s="163"/>
      <c r="O609" s="739"/>
      <c r="P609" s="163"/>
      <c r="Q609" s="163"/>
      <c r="R609" s="163"/>
      <c r="S609" s="156"/>
      <c r="T609" s="156"/>
      <c r="U609" s="163"/>
      <c r="V609" s="740"/>
      <c r="W609" s="163"/>
      <c r="X609" s="740"/>
      <c r="Y609" s="740"/>
      <c r="Z609" s="163"/>
      <c r="AA609" s="163"/>
      <c r="AB609" s="163"/>
      <c r="AC609" s="139"/>
      <c r="AD609" s="139"/>
      <c r="AE609" s="155"/>
      <c r="AF609" s="155"/>
      <c r="AG609" s="140"/>
      <c r="AH609" s="138"/>
      <c r="AI609" s="141"/>
      <c r="AJ609" s="141"/>
      <c r="AK609" s="141"/>
      <c r="AL609" s="141"/>
      <c r="AM609" s="141"/>
      <c r="AN609" s="141"/>
      <c r="AO609" s="154"/>
      <c r="AP609" s="141"/>
      <c r="AQ609" s="154"/>
      <c r="AR609" s="154"/>
      <c r="AS609" s="141"/>
      <c r="AT609" s="141"/>
      <c r="AU609" s="141"/>
      <c r="AV609" s="141"/>
      <c r="AW609" s="141"/>
    </row>
    <row r="610" spans="2:49" s="64" customFormat="1" ht="33.75" customHeight="1">
      <c r="B610" s="84"/>
      <c r="C610" s="137"/>
      <c r="D610" s="178"/>
      <c r="E610" s="163"/>
      <c r="F610" s="163"/>
      <c r="G610" s="163"/>
      <c r="H610" s="739"/>
      <c r="I610" s="163"/>
      <c r="J610" s="739"/>
      <c r="K610" s="163"/>
      <c r="L610" s="163"/>
      <c r="M610" s="739"/>
      <c r="N610" s="163"/>
      <c r="O610" s="739"/>
      <c r="P610" s="163"/>
      <c r="Q610" s="163"/>
      <c r="R610" s="163"/>
      <c r="S610" s="156"/>
      <c r="T610" s="156"/>
      <c r="U610" s="163"/>
      <c r="V610" s="740"/>
      <c r="W610" s="163"/>
      <c r="X610" s="740"/>
      <c r="Y610" s="740"/>
      <c r="Z610" s="163"/>
      <c r="AA610" s="163"/>
      <c r="AB610" s="163"/>
      <c r="AC610" s="139"/>
      <c r="AD610" s="139"/>
      <c r="AE610" s="155"/>
      <c r="AF610" s="155"/>
      <c r="AG610" s="140"/>
      <c r="AH610" s="138"/>
      <c r="AI610" s="141"/>
      <c r="AJ610" s="141"/>
      <c r="AK610" s="141"/>
      <c r="AL610" s="141"/>
      <c r="AM610" s="141"/>
      <c r="AN610" s="141"/>
      <c r="AO610" s="154"/>
      <c r="AP610" s="141"/>
      <c r="AQ610" s="154"/>
      <c r="AR610" s="154"/>
      <c r="AS610" s="141"/>
      <c r="AT610" s="141"/>
      <c r="AU610" s="141"/>
      <c r="AV610" s="141"/>
      <c r="AW610" s="141"/>
    </row>
    <row r="611" spans="2:49" s="64" customFormat="1" ht="33.75" customHeight="1">
      <c r="B611" s="84"/>
      <c r="C611" s="137"/>
      <c r="D611" s="178"/>
      <c r="E611" s="163"/>
      <c r="F611" s="163"/>
      <c r="G611" s="163"/>
      <c r="H611" s="739"/>
      <c r="I611" s="163"/>
      <c r="J611" s="739"/>
      <c r="K611" s="163"/>
      <c r="L611" s="163"/>
      <c r="M611" s="739"/>
      <c r="N611" s="163"/>
      <c r="O611" s="739"/>
      <c r="P611" s="163"/>
      <c r="Q611" s="163"/>
      <c r="R611" s="163"/>
      <c r="S611" s="156"/>
      <c r="T611" s="156"/>
      <c r="U611" s="163"/>
      <c r="V611" s="740"/>
      <c r="W611" s="163"/>
      <c r="X611" s="740"/>
      <c r="Y611" s="740"/>
      <c r="Z611" s="163"/>
      <c r="AA611" s="163"/>
      <c r="AB611" s="163"/>
      <c r="AC611" s="139"/>
      <c r="AD611" s="139"/>
      <c r="AE611" s="155"/>
      <c r="AF611" s="155"/>
      <c r="AG611" s="140"/>
      <c r="AH611" s="138"/>
      <c r="AI611" s="141"/>
      <c r="AJ611" s="141"/>
      <c r="AK611" s="141"/>
      <c r="AL611" s="141"/>
      <c r="AM611" s="141"/>
      <c r="AN611" s="141"/>
      <c r="AO611" s="154"/>
      <c r="AP611" s="141"/>
      <c r="AQ611" s="154"/>
      <c r="AR611" s="154"/>
      <c r="AS611" s="141"/>
      <c r="AT611" s="141"/>
      <c r="AU611" s="141"/>
      <c r="AV611" s="141"/>
      <c r="AW611" s="141"/>
    </row>
    <row r="612" spans="2:49" s="64" customFormat="1" ht="33.75" customHeight="1">
      <c r="B612" s="84"/>
      <c r="C612" s="137"/>
      <c r="D612" s="178"/>
      <c r="E612" s="163"/>
      <c r="F612" s="163"/>
      <c r="G612" s="163"/>
      <c r="H612" s="739"/>
      <c r="I612" s="163"/>
      <c r="J612" s="739"/>
      <c r="K612" s="163"/>
      <c r="L612" s="163"/>
      <c r="M612" s="739"/>
      <c r="N612" s="163"/>
      <c r="O612" s="739"/>
      <c r="P612" s="163"/>
      <c r="Q612" s="163"/>
      <c r="R612" s="163"/>
      <c r="S612" s="156"/>
      <c r="T612" s="156"/>
      <c r="U612" s="163"/>
      <c r="V612" s="740"/>
      <c r="W612" s="163"/>
      <c r="X612" s="740"/>
      <c r="Y612" s="740"/>
      <c r="Z612" s="163"/>
      <c r="AA612" s="163"/>
      <c r="AB612" s="163"/>
      <c r="AC612" s="139"/>
      <c r="AD612" s="139"/>
      <c r="AE612" s="155"/>
      <c r="AF612" s="155"/>
      <c r="AG612" s="140"/>
      <c r="AH612" s="138"/>
      <c r="AI612" s="141"/>
      <c r="AJ612" s="141"/>
      <c r="AK612" s="141"/>
      <c r="AL612" s="141"/>
      <c r="AM612" s="141"/>
      <c r="AN612" s="141"/>
      <c r="AO612" s="154"/>
      <c r="AP612" s="141"/>
      <c r="AQ612" s="154"/>
      <c r="AR612" s="154"/>
      <c r="AS612" s="141"/>
      <c r="AT612" s="141"/>
      <c r="AU612" s="141"/>
      <c r="AV612" s="141"/>
      <c r="AW612" s="141"/>
    </row>
    <row r="613" spans="2:49" s="64" customFormat="1" ht="33.75" customHeight="1">
      <c r="B613" s="84"/>
      <c r="C613" s="137"/>
      <c r="D613" s="178"/>
      <c r="E613" s="163"/>
      <c r="F613" s="163"/>
      <c r="G613" s="163"/>
      <c r="H613" s="739"/>
      <c r="I613" s="163"/>
      <c r="J613" s="739"/>
      <c r="K613" s="163"/>
      <c r="L613" s="163"/>
      <c r="M613" s="739"/>
      <c r="N613" s="163"/>
      <c r="O613" s="739"/>
      <c r="P613" s="163"/>
      <c r="Q613" s="163"/>
      <c r="R613" s="163"/>
      <c r="S613" s="156"/>
      <c r="T613" s="156"/>
      <c r="U613" s="163"/>
      <c r="V613" s="740"/>
      <c r="W613" s="163"/>
      <c r="X613" s="740"/>
      <c r="Y613" s="740"/>
      <c r="Z613" s="163"/>
      <c r="AA613" s="163"/>
      <c r="AB613" s="163"/>
      <c r="AC613" s="139"/>
      <c r="AD613" s="139"/>
      <c r="AE613" s="155"/>
      <c r="AF613" s="155"/>
      <c r="AG613" s="140"/>
      <c r="AH613" s="138"/>
      <c r="AI613" s="141"/>
      <c r="AJ613" s="141"/>
      <c r="AK613" s="141"/>
      <c r="AL613" s="141"/>
      <c r="AM613" s="141"/>
      <c r="AN613" s="141"/>
      <c r="AO613" s="154"/>
      <c r="AP613" s="141"/>
      <c r="AQ613" s="154"/>
      <c r="AR613" s="154"/>
      <c r="AS613" s="141"/>
      <c r="AT613" s="141"/>
      <c r="AU613" s="141"/>
      <c r="AV613" s="141"/>
      <c r="AW613" s="141"/>
    </row>
    <row r="614" spans="2:49" s="64" customFormat="1" ht="33.75" customHeight="1">
      <c r="B614" s="84"/>
      <c r="C614" s="137"/>
      <c r="D614" s="178"/>
      <c r="E614" s="163"/>
      <c r="F614" s="163"/>
      <c r="G614" s="163"/>
      <c r="H614" s="739"/>
      <c r="I614" s="163"/>
      <c r="J614" s="739"/>
      <c r="K614" s="163"/>
      <c r="L614" s="163"/>
      <c r="M614" s="739"/>
      <c r="N614" s="163"/>
      <c r="O614" s="739"/>
      <c r="P614" s="163"/>
      <c r="Q614" s="163"/>
      <c r="R614" s="163"/>
      <c r="S614" s="156"/>
      <c r="T614" s="156"/>
      <c r="U614" s="163"/>
      <c r="V614" s="740"/>
      <c r="W614" s="163"/>
      <c r="X614" s="740"/>
      <c r="Y614" s="740"/>
      <c r="Z614" s="163"/>
      <c r="AA614" s="163"/>
      <c r="AB614" s="163"/>
      <c r="AC614" s="139"/>
      <c r="AD614" s="139"/>
      <c r="AE614" s="155"/>
      <c r="AF614" s="155"/>
      <c r="AG614" s="140"/>
      <c r="AH614" s="138"/>
      <c r="AI614" s="141"/>
      <c r="AJ614" s="141"/>
      <c r="AK614" s="141"/>
      <c r="AL614" s="141"/>
      <c r="AM614" s="141"/>
      <c r="AN614" s="141"/>
      <c r="AO614" s="154"/>
      <c r="AP614" s="141"/>
      <c r="AQ614" s="154"/>
      <c r="AR614" s="154"/>
      <c r="AS614" s="141"/>
      <c r="AT614" s="141"/>
      <c r="AU614" s="141"/>
      <c r="AV614" s="141"/>
      <c r="AW614" s="141"/>
    </row>
    <row r="615" spans="2:49" s="64" customFormat="1" ht="33.75" customHeight="1">
      <c r="B615" s="84"/>
      <c r="C615" s="137"/>
      <c r="D615" s="178"/>
      <c r="E615" s="163"/>
      <c r="F615" s="163"/>
      <c r="G615" s="163"/>
      <c r="H615" s="739"/>
      <c r="I615" s="163"/>
      <c r="J615" s="739"/>
      <c r="K615" s="163"/>
      <c r="L615" s="163"/>
      <c r="M615" s="739"/>
      <c r="N615" s="163"/>
      <c r="O615" s="739"/>
      <c r="P615" s="163"/>
      <c r="Q615" s="163"/>
      <c r="R615" s="163"/>
      <c r="S615" s="156"/>
      <c r="T615" s="156"/>
      <c r="U615" s="163"/>
      <c r="V615" s="740"/>
      <c r="W615" s="163"/>
      <c r="X615" s="740"/>
      <c r="Y615" s="740"/>
      <c r="Z615" s="163"/>
      <c r="AA615" s="163"/>
      <c r="AB615" s="163"/>
      <c r="AC615" s="139"/>
      <c r="AD615" s="139"/>
      <c r="AE615" s="155"/>
      <c r="AF615" s="155"/>
      <c r="AG615" s="140"/>
      <c r="AH615" s="138"/>
      <c r="AI615" s="141"/>
      <c r="AJ615" s="141"/>
      <c r="AK615" s="141"/>
      <c r="AL615" s="141"/>
      <c r="AM615" s="141"/>
      <c r="AN615" s="141"/>
      <c r="AO615" s="154"/>
      <c r="AP615" s="141"/>
      <c r="AQ615" s="154"/>
      <c r="AR615" s="154"/>
      <c r="AS615" s="141"/>
      <c r="AT615" s="141"/>
      <c r="AU615" s="141"/>
      <c r="AV615" s="141"/>
      <c r="AW615" s="141"/>
    </row>
    <row r="616" spans="2:49" s="64" customFormat="1" ht="33.75" customHeight="1">
      <c r="B616" s="84"/>
      <c r="C616" s="137"/>
      <c r="D616" s="178"/>
      <c r="E616" s="163"/>
      <c r="F616" s="163"/>
      <c r="G616" s="163"/>
      <c r="H616" s="739"/>
      <c r="I616" s="163"/>
      <c r="J616" s="739"/>
      <c r="K616" s="163"/>
      <c r="L616" s="163"/>
      <c r="M616" s="739"/>
      <c r="N616" s="163"/>
      <c r="O616" s="739"/>
      <c r="P616" s="163"/>
      <c r="Q616" s="163"/>
      <c r="R616" s="163"/>
      <c r="S616" s="156"/>
      <c r="T616" s="156"/>
      <c r="U616" s="163"/>
      <c r="V616" s="740"/>
      <c r="W616" s="163"/>
      <c r="X616" s="740"/>
      <c r="Y616" s="740"/>
      <c r="Z616" s="163"/>
      <c r="AA616" s="163"/>
      <c r="AB616" s="163"/>
      <c r="AC616" s="139"/>
      <c r="AD616" s="139"/>
      <c r="AE616" s="155"/>
      <c r="AF616" s="155"/>
      <c r="AG616" s="140"/>
      <c r="AH616" s="138"/>
      <c r="AI616" s="141"/>
      <c r="AJ616" s="141"/>
      <c r="AK616" s="141"/>
      <c r="AL616" s="141"/>
      <c r="AM616" s="141"/>
      <c r="AN616" s="141"/>
      <c r="AO616" s="154"/>
      <c r="AP616" s="141"/>
      <c r="AQ616" s="154"/>
      <c r="AR616" s="154"/>
      <c r="AS616" s="141"/>
      <c r="AT616" s="141"/>
      <c r="AU616" s="141"/>
      <c r="AV616" s="141"/>
      <c r="AW616" s="141"/>
    </row>
    <row r="617" spans="2:49" s="64" customFormat="1" ht="33.75" customHeight="1">
      <c r="B617" s="84"/>
      <c r="C617" s="137"/>
      <c r="D617" s="178"/>
      <c r="E617" s="163"/>
      <c r="F617" s="163"/>
      <c r="G617" s="163"/>
      <c r="H617" s="739"/>
      <c r="I617" s="163"/>
      <c r="J617" s="739"/>
      <c r="K617" s="163"/>
      <c r="L617" s="163"/>
      <c r="M617" s="739"/>
      <c r="N617" s="163"/>
      <c r="O617" s="739"/>
      <c r="P617" s="163"/>
      <c r="Q617" s="163"/>
      <c r="R617" s="163"/>
      <c r="S617" s="156"/>
      <c r="T617" s="156"/>
      <c r="U617" s="163"/>
      <c r="V617" s="740"/>
      <c r="W617" s="163"/>
      <c r="X617" s="740"/>
      <c r="Y617" s="740"/>
      <c r="Z617" s="163"/>
      <c r="AA617" s="163"/>
      <c r="AB617" s="163"/>
      <c r="AC617" s="139"/>
      <c r="AD617" s="139"/>
      <c r="AE617" s="155"/>
      <c r="AF617" s="155"/>
      <c r="AG617" s="140"/>
      <c r="AH617" s="138"/>
      <c r="AI617" s="141"/>
      <c r="AJ617" s="141"/>
      <c r="AK617" s="141"/>
      <c r="AL617" s="141"/>
      <c r="AM617" s="141"/>
      <c r="AN617" s="141"/>
      <c r="AO617" s="154"/>
      <c r="AP617" s="141"/>
      <c r="AQ617" s="154"/>
      <c r="AR617" s="154"/>
      <c r="AS617" s="141"/>
      <c r="AT617" s="141"/>
      <c r="AU617" s="141"/>
      <c r="AV617" s="141"/>
      <c r="AW617" s="141"/>
    </row>
    <row r="618" spans="2:49" s="64" customFormat="1" ht="33.75" customHeight="1">
      <c r="B618" s="84"/>
      <c r="C618" s="137"/>
      <c r="D618" s="178"/>
      <c r="E618" s="163"/>
      <c r="F618" s="163"/>
      <c r="G618" s="163"/>
      <c r="H618" s="739"/>
      <c r="I618" s="163"/>
      <c r="J618" s="739"/>
      <c r="K618" s="163"/>
      <c r="L618" s="163"/>
      <c r="M618" s="739"/>
      <c r="N618" s="163"/>
      <c r="O618" s="739"/>
      <c r="P618" s="163"/>
      <c r="Q618" s="163"/>
      <c r="R618" s="163"/>
      <c r="S618" s="156"/>
      <c r="T618" s="156"/>
      <c r="U618" s="163"/>
      <c r="V618" s="740"/>
      <c r="W618" s="163"/>
      <c r="X618" s="740"/>
      <c r="Y618" s="740"/>
      <c r="Z618" s="163"/>
      <c r="AA618" s="163"/>
      <c r="AB618" s="163"/>
      <c r="AC618" s="139"/>
      <c r="AD618" s="139"/>
      <c r="AE618" s="155"/>
      <c r="AF618" s="155"/>
      <c r="AG618" s="140"/>
      <c r="AH618" s="138"/>
      <c r="AI618" s="141"/>
      <c r="AJ618" s="141"/>
      <c r="AK618" s="141"/>
      <c r="AL618" s="141"/>
      <c r="AM618" s="141"/>
      <c r="AN618" s="141"/>
      <c r="AO618" s="154"/>
      <c r="AP618" s="141"/>
      <c r="AQ618" s="154"/>
      <c r="AR618" s="154"/>
      <c r="AS618" s="141"/>
      <c r="AT618" s="141"/>
      <c r="AU618" s="141"/>
      <c r="AV618" s="141"/>
      <c r="AW618" s="141"/>
    </row>
    <row r="619" spans="2:49" s="64" customFormat="1" ht="33.75" customHeight="1">
      <c r="B619" s="84"/>
      <c r="C619" s="137"/>
      <c r="D619" s="178"/>
      <c r="E619" s="163"/>
      <c r="F619" s="163"/>
      <c r="G619" s="163"/>
      <c r="H619" s="739"/>
      <c r="I619" s="163"/>
      <c r="J619" s="739"/>
      <c r="K619" s="163"/>
      <c r="L619" s="163"/>
      <c r="M619" s="739"/>
      <c r="N619" s="163"/>
      <c r="O619" s="739"/>
      <c r="P619" s="163"/>
      <c r="Q619" s="163"/>
      <c r="R619" s="163"/>
      <c r="S619" s="156"/>
      <c r="T619" s="156"/>
      <c r="U619" s="163"/>
      <c r="V619" s="740"/>
      <c r="W619" s="163"/>
      <c r="X619" s="740"/>
      <c r="Y619" s="740"/>
      <c r="Z619" s="163"/>
      <c r="AA619" s="163"/>
      <c r="AB619" s="163"/>
      <c r="AC619" s="139"/>
      <c r="AD619" s="139"/>
      <c r="AE619" s="155"/>
      <c r="AF619" s="155"/>
      <c r="AG619" s="140"/>
      <c r="AH619" s="138"/>
      <c r="AI619" s="141"/>
      <c r="AJ619" s="141"/>
      <c r="AK619" s="141"/>
      <c r="AL619" s="141"/>
      <c r="AM619" s="141"/>
      <c r="AN619" s="141"/>
      <c r="AO619" s="154"/>
      <c r="AP619" s="141"/>
      <c r="AQ619" s="154"/>
      <c r="AR619" s="154"/>
      <c r="AS619" s="141"/>
      <c r="AT619" s="141"/>
      <c r="AU619" s="141"/>
      <c r="AV619" s="141"/>
      <c r="AW619" s="141"/>
    </row>
    <row r="620" spans="2:49" s="64" customFormat="1" ht="33.75" customHeight="1">
      <c r="B620" s="84"/>
      <c r="C620" s="137"/>
      <c r="D620" s="178"/>
      <c r="E620" s="163"/>
      <c r="F620" s="163"/>
      <c r="G620" s="163"/>
      <c r="H620" s="739"/>
      <c r="I620" s="163"/>
      <c r="J620" s="739"/>
      <c r="K620" s="163"/>
      <c r="L620" s="163"/>
      <c r="M620" s="739"/>
      <c r="N620" s="163"/>
      <c r="O620" s="739"/>
      <c r="P620" s="163"/>
      <c r="Q620" s="163"/>
      <c r="R620" s="163"/>
      <c r="S620" s="156"/>
      <c r="T620" s="156"/>
      <c r="U620" s="163"/>
      <c r="V620" s="740"/>
      <c r="W620" s="163"/>
      <c r="X620" s="740"/>
      <c r="Y620" s="740"/>
      <c r="Z620" s="163"/>
      <c r="AA620" s="163"/>
      <c r="AB620" s="163"/>
      <c r="AC620" s="139"/>
      <c r="AD620" s="139"/>
      <c r="AE620" s="155"/>
      <c r="AF620" s="155"/>
      <c r="AG620" s="140"/>
      <c r="AH620" s="138"/>
      <c r="AI620" s="141"/>
      <c r="AJ620" s="141"/>
      <c r="AK620" s="141"/>
      <c r="AL620" s="141"/>
      <c r="AM620" s="141"/>
      <c r="AN620" s="141"/>
      <c r="AO620" s="154"/>
      <c r="AP620" s="141"/>
      <c r="AQ620" s="154"/>
      <c r="AR620" s="154"/>
      <c r="AS620" s="141"/>
      <c r="AT620" s="141"/>
      <c r="AU620" s="141"/>
      <c r="AV620" s="141"/>
      <c r="AW620" s="141"/>
    </row>
    <row r="621" spans="2:49" s="64" customFormat="1" ht="33.75" customHeight="1">
      <c r="B621" s="84"/>
      <c r="C621" s="137"/>
      <c r="D621" s="178"/>
      <c r="E621" s="163"/>
      <c r="F621" s="163"/>
      <c r="G621" s="163"/>
      <c r="H621" s="739"/>
      <c r="I621" s="163"/>
      <c r="J621" s="739"/>
      <c r="K621" s="163"/>
      <c r="L621" s="163"/>
      <c r="M621" s="739"/>
      <c r="N621" s="163"/>
      <c r="O621" s="739"/>
      <c r="P621" s="163"/>
      <c r="Q621" s="163"/>
      <c r="R621" s="163"/>
      <c r="S621" s="156"/>
      <c r="T621" s="156"/>
      <c r="U621" s="163"/>
      <c r="V621" s="740"/>
      <c r="W621" s="163"/>
      <c r="X621" s="740"/>
      <c r="Y621" s="740"/>
      <c r="Z621" s="163"/>
      <c r="AA621" s="163"/>
      <c r="AB621" s="163"/>
      <c r="AC621" s="139"/>
      <c r="AD621" s="139"/>
      <c r="AE621" s="155"/>
      <c r="AF621" s="155"/>
      <c r="AG621" s="140"/>
      <c r="AH621" s="138"/>
      <c r="AI621" s="141"/>
      <c r="AJ621" s="141"/>
      <c r="AK621" s="141"/>
      <c r="AL621" s="141"/>
      <c r="AM621" s="141"/>
      <c r="AN621" s="141"/>
      <c r="AO621" s="154"/>
      <c r="AP621" s="141"/>
      <c r="AQ621" s="154"/>
      <c r="AR621" s="154"/>
      <c r="AS621" s="141"/>
      <c r="AT621" s="141"/>
      <c r="AU621" s="141"/>
      <c r="AV621" s="141"/>
      <c r="AW621" s="141"/>
    </row>
    <row r="622" spans="2:49" s="64" customFormat="1" ht="33.75" customHeight="1">
      <c r="B622" s="84"/>
      <c r="C622" s="137"/>
      <c r="D622" s="178"/>
      <c r="E622" s="163"/>
      <c r="F622" s="163"/>
      <c r="G622" s="163"/>
      <c r="H622" s="739"/>
      <c r="I622" s="163"/>
      <c r="J622" s="739"/>
      <c r="K622" s="163"/>
      <c r="L622" s="163"/>
      <c r="M622" s="739"/>
      <c r="N622" s="163"/>
      <c r="O622" s="739"/>
      <c r="P622" s="163"/>
      <c r="Q622" s="163"/>
      <c r="R622" s="163"/>
      <c r="S622" s="156"/>
      <c r="T622" s="156"/>
      <c r="U622" s="163"/>
      <c r="V622" s="740"/>
      <c r="W622" s="163"/>
      <c r="X622" s="740"/>
      <c r="Y622" s="740"/>
      <c r="Z622" s="163"/>
      <c r="AA622" s="163"/>
      <c r="AB622" s="163"/>
      <c r="AC622" s="139"/>
      <c r="AD622" s="139"/>
      <c r="AE622" s="155"/>
      <c r="AF622" s="155"/>
      <c r="AG622" s="140"/>
      <c r="AH622" s="138"/>
      <c r="AI622" s="141"/>
      <c r="AJ622" s="141"/>
      <c r="AK622" s="141"/>
      <c r="AL622" s="141"/>
      <c r="AM622" s="141"/>
      <c r="AN622" s="141"/>
      <c r="AO622" s="154"/>
      <c r="AP622" s="141"/>
      <c r="AQ622" s="154"/>
      <c r="AR622" s="154"/>
      <c r="AS622" s="141"/>
      <c r="AT622" s="141"/>
      <c r="AU622" s="141"/>
      <c r="AV622" s="141"/>
      <c r="AW622" s="141"/>
    </row>
    <row r="623" spans="2:49" s="64" customFormat="1" ht="33.75" customHeight="1">
      <c r="B623" s="84"/>
      <c r="C623" s="137"/>
      <c r="D623" s="178"/>
      <c r="E623" s="163"/>
      <c r="F623" s="163"/>
      <c r="G623" s="163"/>
      <c r="H623" s="739"/>
      <c r="I623" s="163"/>
      <c r="J623" s="739"/>
      <c r="K623" s="163"/>
      <c r="L623" s="163"/>
      <c r="M623" s="739"/>
      <c r="N623" s="163"/>
      <c r="O623" s="739"/>
      <c r="P623" s="163"/>
      <c r="Q623" s="163"/>
      <c r="R623" s="163"/>
      <c r="S623" s="156"/>
      <c r="T623" s="156"/>
      <c r="U623" s="163"/>
      <c r="V623" s="740"/>
      <c r="W623" s="163"/>
      <c r="X623" s="740"/>
      <c r="Y623" s="740"/>
      <c r="Z623" s="163"/>
      <c r="AA623" s="163"/>
      <c r="AB623" s="163"/>
      <c r="AC623" s="139"/>
      <c r="AD623" s="139"/>
      <c r="AE623" s="155"/>
      <c r="AF623" s="155"/>
      <c r="AG623" s="140"/>
      <c r="AH623" s="138"/>
      <c r="AI623" s="141"/>
      <c r="AJ623" s="141"/>
      <c r="AK623" s="141"/>
      <c r="AL623" s="141"/>
      <c r="AM623" s="141"/>
      <c r="AN623" s="141"/>
      <c r="AO623" s="154"/>
      <c r="AP623" s="141"/>
      <c r="AQ623" s="154"/>
      <c r="AR623" s="154"/>
      <c r="AS623" s="141"/>
      <c r="AT623" s="141"/>
      <c r="AU623" s="141"/>
      <c r="AV623" s="141"/>
      <c r="AW623" s="141"/>
    </row>
    <row r="624" spans="2:49" s="64" customFormat="1" ht="33.75" customHeight="1">
      <c r="B624" s="84"/>
      <c r="C624" s="137"/>
      <c r="D624" s="178"/>
      <c r="E624" s="163"/>
      <c r="F624" s="163"/>
      <c r="G624" s="163"/>
      <c r="H624" s="739"/>
      <c r="I624" s="163"/>
      <c r="J624" s="739"/>
      <c r="K624" s="163"/>
      <c r="L624" s="163"/>
      <c r="M624" s="739"/>
      <c r="N624" s="163"/>
      <c r="O624" s="739"/>
      <c r="P624" s="163"/>
      <c r="Q624" s="163"/>
      <c r="R624" s="163"/>
      <c r="S624" s="156"/>
      <c r="T624" s="156"/>
      <c r="U624" s="163"/>
      <c r="V624" s="740"/>
      <c r="W624" s="163"/>
      <c r="X624" s="740"/>
      <c r="Y624" s="740"/>
      <c r="Z624" s="163"/>
      <c r="AA624" s="163"/>
      <c r="AB624" s="163"/>
      <c r="AC624" s="139"/>
      <c r="AD624" s="139"/>
      <c r="AE624" s="155"/>
      <c r="AF624" s="155"/>
      <c r="AG624" s="140"/>
      <c r="AH624" s="138"/>
      <c r="AI624" s="141"/>
      <c r="AJ624" s="141"/>
      <c r="AK624" s="141"/>
      <c r="AL624" s="141"/>
      <c r="AM624" s="141"/>
      <c r="AN624" s="141"/>
      <c r="AO624" s="154"/>
      <c r="AP624" s="141"/>
      <c r="AQ624" s="154"/>
      <c r="AR624" s="154"/>
      <c r="AS624" s="141"/>
      <c r="AT624" s="141"/>
      <c r="AU624" s="141"/>
      <c r="AV624" s="141"/>
      <c r="AW624" s="141"/>
    </row>
    <row r="625" spans="2:49" s="64" customFormat="1" ht="33.75" customHeight="1">
      <c r="B625" s="84"/>
      <c r="C625" s="137"/>
      <c r="D625" s="178"/>
      <c r="E625" s="163"/>
      <c r="F625" s="163"/>
      <c r="G625" s="163"/>
      <c r="H625" s="739"/>
      <c r="I625" s="163"/>
      <c r="J625" s="739"/>
      <c r="K625" s="163"/>
      <c r="L625" s="163"/>
      <c r="M625" s="739"/>
      <c r="N625" s="163"/>
      <c r="O625" s="739"/>
      <c r="P625" s="163"/>
      <c r="Q625" s="163"/>
      <c r="R625" s="163"/>
      <c r="S625" s="156"/>
      <c r="T625" s="156"/>
      <c r="U625" s="163"/>
      <c r="V625" s="740"/>
      <c r="W625" s="163"/>
      <c r="X625" s="740"/>
      <c r="Y625" s="740"/>
      <c r="Z625" s="163"/>
      <c r="AA625" s="163"/>
      <c r="AB625" s="163"/>
      <c r="AC625" s="139"/>
      <c r="AD625" s="139"/>
      <c r="AE625" s="155"/>
      <c r="AF625" s="155"/>
      <c r="AG625" s="140"/>
      <c r="AH625" s="138"/>
      <c r="AI625" s="141"/>
      <c r="AJ625" s="141"/>
      <c r="AK625" s="141"/>
      <c r="AL625" s="141"/>
      <c r="AM625" s="141"/>
      <c r="AN625" s="141"/>
      <c r="AO625" s="154"/>
      <c r="AP625" s="141"/>
      <c r="AQ625" s="154"/>
      <c r="AR625" s="154"/>
      <c r="AS625" s="141"/>
      <c r="AT625" s="141"/>
      <c r="AU625" s="141"/>
      <c r="AV625" s="141"/>
      <c r="AW625" s="141"/>
    </row>
    <row r="626" spans="2:49" s="64" customFormat="1" ht="33.75" customHeight="1">
      <c r="B626" s="84"/>
      <c r="C626" s="137"/>
      <c r="D626" s="178"/>
      <c r="E626" s="163"/>
      <c r="F626" s="163"/>
      <c r="G626" s="163"/>
      <c r="H626" s="739"/>
      <c r="I626" s="163"/>
      <c r="J626" s="739"/>
      <c r="K626" s="163"/>
      <c r="L626" s="163"/>
      <c r="M626" s="739"/>
      <c r="N626" s="163"/>
      <c r="O626" s="739"/>
      <c r="P626" s="163"/>
      <c r="Q626" s="163"/>
      <c r="R626" s="163"/>
      <c r="S626" s="156"/>
      <c r="T626" s="156"/>
      <c r="U626" s="163"/>
      <c r="V626" s="740"/>
      <c r="W626" s="163"/>
      <c r="X626" s="740"/>
      <c r="Y626" s="740"/>
      <c r="Z626" s="163"/>
      <c r="AA626" s="163"/>
      <c r="AB626" s="163"/>
      <c r="AC626" s="139"/>
      <c r="AD626" s="139"/>
      <c r="AE626" s="155"/>
      <c r="AF626" s="155"/>
      <c r="AG626" s="140"/>
      <c r="AH626" s="138"/>
      <c r="AI626" s="141"/>
      <c r="AJ626" s="141"/>
      <c r="AK626" s="141"/>
      <c r="AL626" s="141"/>
      <c r="AM626" s="141"/>
      <c r="AN626" s="141"/>
      <c r="AO626" s="154"/>
      <c r="AP626" s="141"/>
      <c r="AQ626" s="154"/>
      <c r="AR626" s="154"/>
      <c r="AS626" s="141"/>
      <c r="AT626" s="141"/>
      <c r="AU626" s="141"/>
      <c r="AV626" s="141"/>
      <c r="AW626" s="141"/>
    </row>
    <row r="627" spans="2:49" s="64" customFormat="1" ht="33.75" customHeight="1">
      <c r="B627" s="84"/>
      <c r="C627" s="137"/>
      <c r="D627" s="178"/>
      <c r="E627" s="163"/>
      <c r="F627" s="163"/>
      <c r="G627" s="163"/>
      <c r="H627" s="739"/>
      <c r="I627" s="163"/>
      <c r="J627" s="739"/>
      <c r="K627" s="163"/>
      <c r="L627" s="163"/>
      <c r="M627" s="739"/>
      <c r="N627" s="163"/>
      <c r="O627" s="739"/>
      <c r="P627" s="163"/>
      <c r="Q627" s="163"/>
      <c r="R627" s="163"/>
      <c r="S627" s="156"/>
      <c r="T627" s="156"/>
      <c r="U627" s="163"/>
      <c r="V627" s="740"/>
      <c r="W627" s="163"/>
      <c r="X627" s="740"/>
      <c r="Y627" s="740"/>
      <c r="Z627" s="163"/>
      <c r="AA627" s="163"/>
      <c r="AB627" s="163"/>
      <c r="AC627" s="139"/>
      <c r="AD627" s="139"/>
      <c r="AE627" s="155"/>
      <c r="AF627" s="155"/>
      <c r="AG627" s="140"/>
      <c r="AH627" s="138"/>
      <c r="AI627" s="141"/>
      <c r="AJ627" s="141"/>
      <c r="AK627" s="141"/>
      <c r="AL627" s="141"/>
      <c r="AM627" s="141"/>
      <c r="AN627" s="141"/>
      <c r="AO627" s="154"/>
      <c r="AP627" s="141"/>
      <c r="AQ627" s="154"/>
      <c r="AR627" s="154"/>
      <c r="AS627" s="141"/>
      <c r="AT627" s="141"/>
      <c r="AU627" s="141"/>
      <c r="AV627" s="141"/>
      <c r="AW627" s="141"/>
    </row>
    <row r="628" spans="2:49" s="64" customFormat="1" ht="33.75" customHeight="1">
      <c r="B628" s="84"/>
      <c r="C628" s="137"/>
      <c r="D628" s="178"/>
      <c r="E628" s="163"/>
      <c r="F628" s="163"/>
      <c r="G628" s="163"/>
      <c r="H628" s="739"/>
      <c r="I628" s="163"/>
      <c r="J628" s="739"/>
      <c r="K628" s="163"/>
      <c r="L628" s="163"/>
      <c r="M628" s="739"/>
      <c r="N628" s="163"/>
      <c r="O628" s="739"/>
      <c r="P628" s="163"/>
      <c r="Q628" s="163"/>
      <c r="R628" s="163"/>
      <c r="S628" s="156"/>
      <c r="T628" s="156"/>
      <c r="U628" s="163"/>
      <c r="V628" s="740"/>
      <c r="W628" s="163"/>
      <c r="X628" s="740"/>
      <c r="Y628" s="740"/>
      <c r="Z628" s="163"/>
      <c r="AA628" s="163"/>
      <c r="AB628" s="163"/>
      <c r="AC628" s="139"/>
      <c r="AD628" s="139"/>
      <c r="AE628" s="155"/>
      <c r="AF628" s="155"/>
      <c r="AG628" s="140"/>
      <c r="AH628" s="138"/>
      <c r="AI628" s="141"/>
      <c r="AJ628" s="141"/>
      <c r="AK628" s="141"/>
      <c r="AL628" s="141"/>
      <c r="AM628" s="141"/>
      <c r="AN628" s="141"/>
      <c r="AO628" s="154"/>
      <c r="AP628" s="141"/>
      <c r="AQ628" s="154"/>
      <c r="AR628" s="154"/>
      <c r="AS628" s="141"/>
      <c r="AT628" s="141"/>
      <c r="AU628" s="141"/>
      <c r="AV628" s="141"/>
      <c r="AW628" s="141"/>
    </row>
    <row r="629" spans="2:49" s="64" customFormat="1" ht="33.75" customHeight="1">
      <c r="B629" s="84"/>
      <c r="C629" s="137"/>
      <c r="D629" s="178"/>
      <c r="E629" s="163"/>
      <c r="F629" s="163"/>
      <c r="G629" s="163"/>
      <c r="H629" s="739"/>
      <c r="I629" s="163"/>
      <c r="J629" s="739"/>
      <c r="K629" s="163"/>
      <c r="L629" s="163"/>
      <c r="M629" s="739"/>
      <c r="N629" s="163"/>
      <c r="O629" s="739"/>
      <c r="P629" s="163"/>
      <c r="Q629" s="163"/>
      <c r="R629" s="163"/>
      <c r="S629" s="156"/>
      <c r="T629" s="156"/>
      <c r="U629" s="163"/>
      <c r="V629" s="740"/>
      <c r="W629" s="163"/>
      <c r="X629" s="740"/>
      <c r="Y629" s="740"/>
      <c r="Z629" s="163"/>
      <c r="AA629" s="163"/>
      <c r="AB629" s="163"/>
      <c r="AC629" s="139"/>
      <c r="AD629" s="139"/>
      <c r="AE629" s="155"/>
      <c r="AF629" s="155"/>
      <c r="AG629" s="140"/>
      <c r="AH629" s="138"/>
      <c r="AI629" s="141"/>
      <c r="AJ629" s="141"/>
      <c r="AK629" s="141"/>
      <c r="AL629" s="141"/>
      <c r="AM629" s="141"/>
      <c r="AN629" s="141"/>
      <c r="AO629" s="154"/>
      <c r="AP629" s="141"/>
      <c r="AQ629" s="154"/>
      <c r="AR629" s="154"/>
      <c r="AS629" s="141"/>
      <c r="AT629" s="141"/>
      <c r="AU629" s="141"/>
      <c r="AV629" s="141"/>
      <c r="AW629" s="141"/>
    </row>
    <row r="630" spans="2:49" s="64" customFormat="1" ht="33.75" customHeight="1">
      <c r="B630" s="84"/>
      <c r="C630" s="137"/>
      <c r="D630" s="178"/>
      <c r="E630" s="163"/>
      <c r="F630" s="163"/>
      <c r="G630" s="163"/>
      <c r="H630" s="739"/>
      <c r="I630" s="163"/>
      <c r="J630" s="739"/>
      <c r="K630" s="163"/>
      <c r="L630" s="163"/>
      <c r="M630" s="739"/>
      <c r="N630" s="163"/>
      <c r="O630" s="739"/>
      <c r="P630" s="163"/>
      <c r="Q630" s="163"/>
      <c r="R630" s="163"/>
      <c r="S630" s="156"/>
      <c r="T630" s="156"/>
      <c r="U630" s="163"/>
      <c r="V630" s="740"/>
      <c r="W630" s="163"/>
      <c r="X630" s="740"/>
      <c r="Y630" s="740"/>
      <c r="Z630" s="163"/>
      <c r="AA630" s="163"/>
      <c r="AB630" s="163"/>
      <c r="AC630" s="139"/>
      <c r="AD630" s="139"/>
      <c r="AE630" s="155"/>
      <c r="AF630" s="155"/>
      <c r="AG630" s="140"/>
      <c r="AH630" s="138"/>
      <c r="AI630" s="141"/>
      <c r="AJ630" s="141"/>
      <c r="AK630" s="141"/>
      <c r="AL630" s="141"/>
      <c r="AM630" s="141"/>
      <c r="AN630" s="141"/>
      <c r="AO630" s="154"/>
      <c r="AP630" s="141"/>
      <c r="AQ630" s="154"/>
      <c r="AR630" s="154"/>
      <c r="AS630" s="141"/>
      <c r="AT630" s="141"/>
      <c r="AU630" s="141"/>
      <c r="AV630" s="141"/>
      <c r="AW630" s="141"/>
    </row>
    <row r="631" spans="2:49" s="64" customFormat="1" ht="33.75" customHeight="1">
      <c r="B631" s="84"/>
      <c r="C631" s="137"/>
      <c r="D631" s="178"/>
      <c r="E631" s="163"/>
      <c r="F631" s="163"/>
      <c r="G631" s="163"/>
      <c r="H631" s="739"/>
      <c r="I631" s="163"/>
      <c r="J631" s="739"/>
      <c r="K631" s="163"/>
      <c r="L631" s="163"/>
      <c r="M631" s="739"/>
      <c r="N631" s="163"/>
      <c r="O631" s="739"/>
      <c r="P631" s="163"/>
      <c r="Q631" s="163"/>
      <c r="R631" s="163"/>
      <c r="S631" s="156"/>
      <c r="T631" s="156"/>
      <c r="U631" s="163"/>
      <c r="V631" s="740"/>
      <c r="W631" s="163"/>
      <c r="X631" s="740"/>
      <c r="Y631" s="740"/>
      <c r="Z631" s="163"/>
      <c r="AA631" s="163"/>
      <c r="AB631" s="163"/>
      <c r="AC631" s="139"/>
      <c r="AD631" s="139"/>
      <c r="AE631" s="155"/>
      <c r="AF631" s="155"/>
      <c r="AG631" s="140"/>
      <c r="AH631" s="138"/>
      <c r="AI631" s="141"/>
      <c r="AJ631" s="141"/>
      <c r="AK631" s="141"/>
      <c r="AL631" s="141"/>
      <c r="AM631" s="141"/>
      <c r="AN631" s="141"/>
      <c r="AO631" s="154"/>
      <c r="AP631" s="141"/>
      <c r="AQ631" s="154"/>
      <c r="AR631" s="154"/>
      <c r="AS631" s="141"/>
      <c r="AT631" s="141"/>
      <c r="AU631" s="141"/>
      <c r="AV631" s="141"/>
      <c r="AW631" s="141"/>
    </row>
  </sheetData>
  <mergeCells count="39">
    <mergeCell ref="C2:AB2"/>
    <mergeCell ref="G3:W3"/>
    <mergeCell ref="G4:R4"/>
    <mergeCell ref="S4:T4"/>
    <mergeCell ref="AO4:AP6"/>
    <mergeCell ref="AK6:AL6"/>
    <mergeCell ref="AM6:AN6"/>
    <mergeCell ref="C7:D7"/>
    <mergeCell ref="AA4:AA6"/>
    <mergeCell ref="AB4:AB6"/>
    <mergeCell ref="T5:T6"/>
    <mergeCell ref="G5:G6"/>
    <mergeCell ref="B4:B6"/>
    <mergeCell ref="C4:D6"/>
    <mergeCell ref="E4:E6"/>
    <mergeCell ref="F4:F6"/>
    <mergeCell ref="AI6:AJ6"/>
    <mergeCell ref="AH4:AH6"/>
    <mergeCell ref="AI4:AN5"/>
    <mergeCell ref="AG4:AG6"/>
    <mergeCell ref="AT4:AW5"/>
    <mergeCell ref="AC4:AC6"/>
    <mergeCell ref="I5:Q5"/>
    <mergeCell ref="R5:R6"/>
    <mergeCell ref="S5:S6"/>
    <mergeCell ref="U5:U6"/>
    <mergeCell ref="V5:W5"/>
    <mergeCell ref="X5:X6"/>
    <mergeCell ref="Y5:Z5"/>
    <mergeCell ref="AT6:AU6"/>
    <mergeCell ref="AD4:AD6"/>
    <mergeCell ref="U490:W490"/>
    <mergeCell ref="AX4:AX6"/>
    <mergeCell ref="AQ4:AQ6"/>
    <mergeCell ref="AR4:AS6"/>
    <mergeCell ref="U4:W4"/>
    <mergeCell ref="X4:Z4"/>
    <mergeCell ref="AE4:AE6"/>
    <mergeCell ref="AF4:AF6"/>
  </mergeCells>
  <phoneticPr fontId="55" type="noConversion"/>
  <printOptions verticalCentered="1"/>
  <pageMargins left="0" right="0" top="0.59055118110236227" bottom="0.39370078740157483" header="0" footer="0"/>
  <pageSetup paperSize="9" scale="23" fitToHeight="12" orientation="landscape" r:id="rId1"/>
  <headerFooter alignWithMargins="0"/>
  <rowBreaks count="3" manualBreakCount="3">
    <brk id="187" min="1" max="27" man="1"/>
    <brk id="193" min="1" max="27" man="1"/>
    <brk id="295" min="1" max="2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H48"/>
  <sheetViews>
    <sheetView zoomScale="85" zoomScaleNormal="85" workbookViewId="0">
      <selection activeCell="I26" sqref="I26"/>
    </sheetView>
  </sheetViews>
  <sheetFormatPr defaultRowHeight="15"/>
  <cols>
    <col min="2" max="2" width="14" customWidth="1"/>
    <col min="4" max="4" width="11.7109375" bestFit="1" customWidth="1"/>
    <col min="5" max="5" width="13" customWidth="1"/>
    <col min="6" max="6" width="13.140625" customWidth="1"/>
    <col min="8" max="8" width="11.7109375" customWidth="1"/>
    <col min="9" max="9" width="14" customWidth="1"/>
    <col min="13" max="13" width="12.42578125" customWidth="1"/>
    <col min="15" max="15" width="9.7109375" bestFit="1" customWidth="1"/>
    <col min="18" max="18" width="12" customWidth="1"/>
    <col min="19" max="19" width="10.140625" customWidth="1"/>
    <col min="20" max="20" width="10.28515625" customWidth="1"/>
    <col min="21" max="21" width="10.42578125" customWidth="1"/>
    <col min="23" max="23" width="10.28515625" bestFit="1" customWidth="1"/>
    <col min="24" max="24" width="9.7109375" bestFit="1" customWidth="1"/>
    <col min="26" max="26" width="10.28515625" bestFit="1" customWidth="1"/>
    <col min="27" max="27" width="11.7109375" bestFit="1" customWidth="1"/>
    <col min="33" max="33" width="12.28515625" customWidth="1"/>
  </cols>
  <sheetData>
    <row r="1" spans="1:34">
      <c r="A1" s="833" t="s">
        <v>83</v>
      </c>
      <c r="B1" s="834"/>
      <c r="C1" s="835"/>
      <c r="D1" s="835"/>
      <c r="E1" s="835"/>
      <c r="F1" s="835"/>
      <c r="G1" s="835"/>
      <c r="H1" s="834" t="s">
        <v>84</v>
      </c>
      <c r="I1" s="835"/>
      <c r="J1" s="835"/>
      <c r="K1" s="835"/>
      <c r="L1" s="835"/>
      <c r="M1" s="835"/>
      <c r="N1" s="835"/>
      <c r="O1" s="836"/>
      <c r="P1" t="s">
        <v>356</v>
      </c>
    </row>
    <row r="2" spans="1:34">
      <c r="A2" s="837" t="s">
        <v>85</v>
      </c>
      <c r="B2" s="252"/>
      <c r="C2" s="252">
        <v>11973.4</v>
      </c>
      <c r="D2" s="252"/>
      <c r="E2" s="252"/>
      <c r="F2" s="252"/>
      <c r="G2" s="252"/>
      <c r="H2" s="252" t="s">
        <v>86</v>
      </c>
      <c r="I2" s="252"/>
      <c r="J2" s="252">
        <f>C2</f>
        <v>11973.4</v>
      </c>
      <c r="K2" s="252"/>
      <c r="L2" s="252"/>
      <c r="M2" s="252"/>
      <c r="N2" s="252"/>
      <c r="O2" s="838"/>
      <c r="U2" s="669" t="s">
        <v>83</v>
      </c>
    </row>
    <row r="3" spans="1:34">
      <c r="A3" s="837" t="s">
        <v>87</v>
      </c>
      <c r="B3" s="252"/>
      <c r="C3" s="252">
        <v>1257.7</v>
      </c>
      <c r="D3" s="252"/>
      <c r="E3" s="252"/>
      <c r="F3" s="252"/>
      <c r="G3" s="252"/>
      <c r="H3" s="252" t="s">
        <v>87</v>
      </c>
      <c r="I3" s="252"/>
      <c r="J3" s="252">
        <v>1316.7</v>
      </c>
      <c r="K3" s="252"/>
      <c r="L3" s="252"/>
      <c r="M3" s="252"/>
      <c r="N3" s="252"/>
      <c r="O3" s="838"/>
      <c r="Q3" s="895" t="s">
        <v>350</v>
      </c>
      <c r="R3" s="895"/>
      <c r="S3" s="895"/>
      <c r="T3" s="895"/>
      <c r="U3" s="563"/>
      <c r="V3" t="s">
        <v>351</v>
      </c>
      <c r="AF3" t="s">
        <v>88</v>
      </c>
    </row>
    <row r="4" spans="1:34" ht="42.75" customHeight="1">
      <c r="A4" s="662"/>
      <c r="B4" s="662" t="s">
        <v>1261</v>
      </c>
      <c r="C4" s="662" t="s">
        <v>88</v>
      </c>
      <c r="D4" s="662" t="s">
        <v>89</v>
      </c>
      <c r="E4" s="662" t="s">
        <v>90</v>
      </c>
      <c r="F4" s="662" t="s">
        <v>91</v>
      </c>
      <c r="G4" s="831"/>
      <c r="H4" s="662"/>
      <c r="I4" s="662" t="s">
        <v>1277</v>
      </c>
      <c r="J4" s="662" t="s">
        <v>88</v>
      </c>
      <c r="K4" s="662" t="s">
        <v>89</v>
      </c>
      <c r="L4" s="662" t="s">
        <v>90</v>
      </c>
      <c r="M4" s="662" t="s">
        <v>91</v>
      </c>
      <c r="N4" s="839"/>
      <c r="O4" s="840"/>
      <c r="P4" s="634"/>
      <c r="Q4" s="892" t="s">
        <v>1261</v>
      </c>
      <c r="R4" s="888" t="s">
        <v>347</v>
      </c>
      <c r="S4" s="888" t="s">
        <v>349</v>
      </c>
      <c r="T4" s="888" t="s">
        <v>348</v>
      </c>
      <c r="U4" s="888" t="s">
        <v>352</v>
      </c>
      <c r="V4" s="892" t="s">
        <v>1261</v>
      </c>
      <c r="W4" s="888" t="s">
        <v>347</v>
      </c>
      <c r="X4" s="888" t="s">
        <v>349</v>
      </c>
      <c r="Y4" s="888" t="s">
        <v>348</v>
      </c>
      <c r="Z4" s="888" t="s">
        <v>352</v>
      </c>
      <c r="AA4" s="893" t="s">
        <v>353</v>
      </c>
      <c r="AE4" s="885" t="s">
        <v>347</v>
      </c>
      <c r="AF4" s="885" t="s">
        <v>349</v>
      </c>
      <c r="AG4" s="885" t="s">
        <v>348</v>
      </c>
      <c r="AH4" s="888" t="s">
        <v>352</v>
      </c>
    </row>
    <row r="5" spans="1:34">
      <c r="A5" s="634" t="s">
        <v>1262</v>
      </c>
      <c r="B5" s="663">
        <v>47000</v>
      </c>
      <c r="C5" s="634">
        <f>$AE$5+$AF$5+$AG$5</f>
        <v>11.470904075999998</v>
      </c>
      <c r="D5" s="886">
        <f>B5*C5</f>
        <v>539132.49157199997</v>
      </c>
      <c r="E5" s="667">
        <f>D5/$C$2*$C$3</f>
        <v>56631.110181744909</v>
      </c>
      <c r="F5" s="667">
        <f>D5-E5</f>
        <v>482501.38139025506</v>
      </c>
      <c r="G5" s="832"/>
      <c r="H5" s="634" t="s">
        <v>1262</v>
      </c>
      <c r="I5" s="634">
        <v>651</v>
      </c>
      <c r="J5" s="634">
        <v>800</v>
      </c>
      <c r="K5" s="634">
        <f>I5*J5</f>
        <v>520800</v>
      </c>
      <c r="L5" s="667">
        <f>K5/$J$2*$J$3</f>
        <v>57271.732340020382</v>
      </c>
      <c r="M5" s="667">
        <f>K5-L5</f>
        <v>463528.26765997964</v>
      </c>
      <c r="N5" s="252"/>
      <c r="O5" s="840"/>
      <c r="P5" s="634">
        <v>1</v>
      </c>
      <c r="Q5" s="887">
        <f>B5*$G$22</f>
        <v>42063.064793625876</v>
      </c>
      <c r="R5" s="886">
        <f>Q5*$AE$5</f>
        <v>380009.67325601756</v>
      </c>
      <c r="S5" s="886">
        <f>Q5*$AF$5</f>
        <v>100110.09420882959</v>
      </c>
      <c r="T5" s="886">
        <f>Q5*$AG$5</f>
        <v>2381.6139254080213</v>
      </c>
      <c r="U5" s="886">
        <f>R5+S5+T5</f>
        <v>482501.38139025518</v>
      </c>
      <c r="V5" s="829">
        <f>B5-Q5</f>
        <v>4936.9352063741244</v>
      </c>
      <c r="W5" s="634">
        <f>V5*$AE$5</f>
        <v>44601.674743982447</v>
      </c>
      <c r="X5" s="886">
        <f>V5*$AF$5</f>
        <v>11749.905791170415</v>
      </c>
      <c r="Y5" s="886">
        <f>V5*$AG$5</f>
        <v>279.52964659197858</v>
      </c>
      <c r="Z5" s="886">
        <f>W5+X5+Y5</f>
        <v>56631.110181744843</v>
      </c>
      <c r="AA5" s="634">
        <f>U5+Z5</f>
        <v>539132.49157199997</v>
      </c>
      <c r="AE5" s="803">
        <v>9.0342839999999995</v>
      </c>
      <c r="AF5" s="803">
        <v>2.38</v>
      </c>
      <c r="AG5" s="803">
        <v>5.6620075999999998E-2</v>
      </c>
      <c r="AH5" s="803">
        <f>AG5+AF5+AE5</f>
        <v>11.470904076</v>
      </c>
    </row>
    <row r="6" spans="1:34">
      <c r="A6" s="634" t="s">
        <v>1263</v>
      </c>
      <c r="B6" s="663">
        <v>32000</v>
      </c>
      <c r="C6" s="634">
        <f t="shared" ref="C6:C15" si="0">$AE$5+$AF$5+$AG$5</f>
        <v>11.470904075999998</v>
      </c>
      <c r="D6" s="886">
        <f t="shared" ref="D6:D16" si="1">B6*C6</f>
        <v>367068.93043199996</v>
      </c>
      <c r="E6" s="667">
        <f t="shared" ref="E6:E16" si="2">D6/$C$2*$C$3</f>
        <v>38557.35161310291</v>
      </c>
      <c r="F6" s="667">
        <f t="shared" ref="F6:F16" si="3">D6-E6</f>
        <v>328511.57881889708</v>
      </c>
      <c r="G6" s="832"/>
      <c r="H6" s="634" t="s">
        <v>1263</v>
      </c>
      <c r="I6" s="634">
        <v>588</v>
      </c>
      <c r="J6" s="634">
        <v>800</v>
      </c>
      <c r="K6" s="634">
        <f t="shared" ref="K6:K16" si="4">I6*J6</f>
        <v>470400</v>
      </c>
      <c r="L6" s="667">
        <f t="shared" ref="L6:L16" si="5">K6/$J$2*$J$3</f>
        <v>51729.306629695828</v>
      </c>
      <c r="M6" s="667">
        <f t="shared" ref="M6:M16" si="6">K6-L6</f>
        <v>418670.69337030419</v>
      </c>
      <c r="N6" s="252"/>
      <c r="O6" s="840"/>
      <c r="P6" s="634">
        <v>2</v>
      </c>
      <c r="Q6" s="887">
        <f t="shared" ref="Q6:Q16" si="7">B6*$G$22</f>
        <v>28638.682412681446</v>
      </c>
      <c r="R6" s="886">
        <f t="shared" ref="R6:R16" si="8">Q6*$AE$5</f>
        <v>258729.99030196937</v>
      </c>
      <c r="S6" s="886">
        <f t="shared" ref="S6:S16" si="9">Q6*$AF$5</f>
        <v>68160.064142181844</v>
      </c>
      <c r="T6" s="886">
        <f t="shared" ref="T6:T16" si="10">Q6*$AG$5</f>
        <v>1621.5243747458869</v>
      </c>
      <c r="U6" s="886">
        <f t="shared" ref="U6:U16" si="11">R6+S6+T6</f>
        <v>328511.57881889713</v>
      </c>
      <c r="V6" s="829">
        <f t="shared" ref="V6:V16" si="12">B6-Q6</f>
        <v>3361.3175873185537</v>
      </c>
      <c r="W6" s="634">
        <f t="shared" ref="W6:W16" si="13">V6*$AE$5</f>
        <v>30367.097698030611</v>
      </c>
      <c r="X6" s="886">
        <f t="shared" ref="X6:X16" si="14">V6*$AF$5</f>
        <v>7999.9358578181573</v>
      </c>
      <c r="Y6" s="886">
        <f t="shared" ref="Y6:Y16" si="15">V6*$AG$5</f>
        <v>190.31805725411314</v>
      </c>
      <c r="Z6" s="886">
        <f t="shared" ref="Z6:Z16" si="16">W6+X6+Y6</f>
        <v>38557.351613102881</v>
      </c>
      <c r="AA6" s="634">
        <f t="shared" ref="AA6:AA16" si="17">U6+Z6</f>
        <v>367068.93043200002</v>
      </c>
    </row>
    <row r="7" spans="1:34">
      <c r="A7" s="634" t="s">
        <v>1264</v>
      </c>
      <c r="B7" s="663">
        <v>30000</v>
      </c>
      <c r="C7" s="634">
        <f t="shared" si="0"/>
        <v>11.470904075999998</v>
      </c>
      <c r="D7" s="886">
        <f t="shared" si="1"/>
        <v>344127.12227999995</v>
      </c>
      <c r="E7" s="667">
        <f t="shared" si="2"/>
        <v>36147.517137283976</v>
      </c>
      <c r="F7" s="667">
        <f t="shared" si="3"/>
        <v>307979.60514271597</v>
      </c>
      <c r="G7" s="832"/>
      <c r="H7" s="634" t="s">
        <v>1264</v>
      </c>
      <c r="I7" s="634">
        <v>651</v>
      </c>
      <c r="J7" s="634">
        <v>800</v>
      </c>
      <c r="K7" s="634">
        <f t="shared" si="4"/>
        <v>520800</v>
      </c>
      <c r="L7" s="667">
        <f t="shared" si="5"/>
        <v>57271.732340020382</v>
      </c>
      <c r="M7" s="667">
        <f t="shared" si="6"/>
        <v>463528.26765997964</v>
      </c>
      <c r="N7" s="252"/>
      <c r="O7" s="840"/>
      <c r="P7" s="634">
        <v>3</v>
      </c>
      <c r="Q7" s="887">
        <f t="shared" si="7"/>
        <v>26848.764761888859</v>
      </c>
      <c r="R7" s="886">
        <f t="shared" si="8"/>
        <v>242559.36590809631</v>
      </c>
      <c r="S7" s="886">
        <f t="shared" si="9"/>
        <v>63900.060133295483</v>
      </c>
      <c r="T7" s="886">
        <f t="shared" si="10"/>
        <v>1520.1791013242691</v>
      </c>
      <c r="U7" s="886">
        <f t="shared" si="11"/>
        <v>307979.60514271609</v>
      </c>
      <c r="V7" s="829">
        <f t="shared" si="12"/>
        <v>3151.2352381111414</v>
      </c>
      <c r="W7" s="634">
        <f t="shared" si="13"/>
        <v>28469.154091903674</v>
      </c>
      <c r="X7" s="886">
        <f t="shared" si="14"/>
        <v>7499.9398667045161</v>
      </c>
      <c r="Y7" s="886">
        <f t="shared" si="15"/>
        <v>178.42317867573092</v>
      </c>
      <c r="Z7" s="886">
        <f t="shared" si="16"/>
        <v>36147.517137283918</v>
      </c>
      <c r="AA7" s="634">
        <f t="shared" si="17"/>
        <v>344127.12228000001</v>
      </c>
    </row>
    <row r="8" spans="1:34">
      <c r="A8" s="634" t="s">
        <v>1265</v>
      </c>
      <c r="B8" s="663">
        <v>25000</v>
      </c>
      <c r="C8" s="634">
        <f t="shared" si="0"/>
        <v>11.470904075999998</v>
      </c>
      <c r="D8" s="886">
        <f t="shared" si="1"/>
        <v>286772.60189999995</v>
      </c>
      <c r="E8" s="667">
        <f t="shared" si="2"/>
        <v>30122.930947736648</v>
      </c>
      <c r="F8" s="667">
        <f t="shared" si="3"/>
        <v>256649.67095226329</v>
      </c>
      <c r="G8" s="832"/>
      <c r="H8" s="634" t="s">
        <v>1265</v>
      </c>
      <c r="I8" s="634">
        <v>315</v>
      </c>
      <c r="J8" s="634">
        <v>800</v>
      </c>
      <c r="K8" s="634">
        <f t="shared" si="4"/>
        <v>252000</v>
      </c>
      <c r="L8" s="667">
        <f t="shared" si="5"/>
        <v>27712.128551622765</v>
      </c>
      <c r="M8" s="667">
        <f t="shared" si="6"/>
        <v>224287.87144837723</v>
      </c>
      <c r="N8" s="252"/>
      <c r="O8" s="840"/>
      <c r="P8" s="634">
        <v>4</v>
      </c>
      <c r="Q8" s="887">
        <f t="shared" si="7"/>
        <v>22373.970634907382</v>
      </c>
      <c r="R8" s="886">
        <f t="shared" si="8"/>
        <v>202132.80492341358</v>
      </c>
      <c r="S8" s="886">
        <f t="shared" si="9"/>
        <v>53250.050111079567</v>
      </c>
      <c r="T8" s="886">
        <f t="shared" si="10"/>
        <v>1266.8159177702241</v>
      </c>
      <c r="U8" s="886">
        <f t="shared" si="11"/>
        <v>256649.67095226338</v>
      </c>
      <c r="V8" s="829">
        <f t="shared" si="12"/>
        <v>2626.0293650926178</v>
      </c>
      <c r="W8" s="634">
        <f t="shared" si="13"/>
        <v>23724.295076586393</v>
      </c>
      <c r="X8" s="886">
        <f t="shared" si="14"/>
        <v>6249.9498889204297</v>
      </c>
      <c r="Y8" s="886">
        <f t="shared" si="15"/>
        <v>148.68598222977576</v>
      </c>
      <c r="Z8" s="886">
        <f t="shared" si="16"/>
        <v>30122.930947736601</v>
      </c>
      <c r="AA8" s="634">
        <f t="shared" si="17"/>
        <v>286772.60189999995</v>
      </c>
    </row>
    <row r="9" spans="1:34">
      <c r="A9" s="634" t="s">
        <v>1266</v>
      </c>
      <c r="B9" s="663">
        <v>22000</v>
      </c>
      <c r="C9" s="634">
        <f t="shared" si="0"/>
        <v>11.470904075999998</v>
      </c>
      <c r="D9" s="886">
        <f t="shared" si="1"/>
        <v>252359.88967199996</v>
      </c>
      <c r="E9" s="667">
        <f t="shared" si="2"/>
        <v>26508.17923400825</v>
      </c>
      <c r="F9" s="667">
        <f t="shared" si="3"/>
        <v>225851.71043799171</v>
      </c>
      <c r="G9" s="832"/>
      <c r="H9" s="634" t="s">
        <v>1266</v>
      </c>
      <c r="I9" s="634"/>
      <c r="J9" s="634"/>
      <c r="K9" s="634"/>
      <c r="L9" s="634"/>
      <c r="M9" s="634"/>
      <c r="N9" s="252"/>
      <c r="O9" s="840"/>
      <c r="P9" s="634">
        <v>5</v>
      </c>
      <c r="Q9" s="887">
        <f t="shared" si="7"/>
        <v>19689.094158718493</v>
      </c>
      <c r="R9" s="886">
        <f t="shared" si="8"/>
        <v>177876.86833260395</v>
      </c>
      <c r="S9" s="886">
        <f t="shared" si="9"/>
        <v>46860.044097750011</v>
      </c>
      <c r="T9" s="886">
        <f t="shared" si="10"/>
        <v>1114.7980076377971</v>
      </c>
      <c r="U9" s="886">
        <f t="shared" si="11"/>
        <v>225851.71043799174</v>
      </c>
      <c r="V9" s="829">
        <f t="shared" si="12"/>
        <v>2310.9058412815066</v>
      </c>
      <c r="W9" s="634">
        <f t="shared" si="13"/>
        <v>20877.379667396053</v>
      </c>
      <c r="X9" s="886">
        <f t="shared" si="14"/>
        <v>5499.9559022499852</v>
      </c>
      <c r="Y9" s="886">
        <f t="shared" si="15"/>
        <v>130.84366436220284</v>
      </c>
      <c r="Z9" s="886">
        <f t="shared" si="16"/>
        <v>26508.179234008243</v>
      </c>
      <c r="AA9" s="634">
        <f t="shared" si="17"/>
        <v>252359.88967199999</v>
      </c>
    </row>
    <row r="10" spans="1:34">
      <c r="A10" s="634" t="s">
        <v>1267</v>
      </c>
      <c r="B10" s="663">
        <v>20000</v>
      </c>
      <c r="C10" s="634">
        <f t="shared" si="0"/>
        <v>11.470904075999998</v>
      </c>
      <c r="D10" s="886">
        <f t="shared" si="1"/>
        <v>229418.08151999998</v>
      </c>
      <c r="E10" s="667">
        <f t="shared" si="2"/>
        <v>24098.34475818932</v>
      </c>
      <c r="F10" s="667">
        <f t="shared" si="3"/>
        <v>205319.73676181067</v>
      </c>
      <c r="G10" s="832"/>
      <c r="H10" s="634" t="s">
        <v>1267</v>
      </c>
      <c r="I10" s="634"/>
      <c r="J10" s="634"/>
      <c r="K10" s="634"/>
      <c r="L10" s="634"/>
      <c r="M10" s="634"/>
      <c r="N10" s="252"/>
      <c r="O10" s="840"/>
      <c r="P10" s="634">
        <v>6</v>
      </c>
      <c r="Q10" s="887">
        <f t="shared" si="7"/>
        <v>17899.176507925906</v>
      </c>
      <c r="R10" s="886">
        <f t="shared" si="8"/>
        <v>161706.24393873088</v>
      </c>
      <c r="S10" s="886">
        <f t="shared" si="9"/>
        <v>42600.04008886365</v>
      </c>
      <c r="T10" s="886">
        <f t="shared" si="10"/>
        <v>1013.4527342161794</v>
      </c>
      <c r="U10" s="886">
        <f t="shared" si="11"/>
        <v>205319.73676181072</v>
      </c>
      <c r="V10" s="829">
        <f t="shared" si="12"/>
        <v>2100.8234920740942</v>
      </c>
      <c r="W10" s="634">
        <f t="shared" si="13"/>
        <v>18979.436061269116</v>
      </c>
      <c r="X10" s="886">
        <f t="shared" si="14"/>
        <v>4999.9599111363441</v>
      </c>
      <c r="Y10" s="886">
        <f t="shared" si="15"/>
        <v>118.94878578382061</v>
      </c>
      <c r="Z10" s="886">
        <f t="shared" si="16"/>
        <v>24098.34475818928</v>
      </c>
      <c r="AA10" s="634">
        <f t="shared" si="17"/>
        <v>229418.08152000001</v>
      </c>
    </row>
    <row r="11" spans="1:34">
      <c r="A11" s="634" t="s">
        <v>1268</v>
      </c>
      <c r="B11" s="663">
        <v>20000</v>
      </c>
      <c r="C11" s="634">
        <f t="shared" si="0"/>
        <v>11.470904075999998</v>
      </c>
      <c r="D11" s="886">
        <f t="shared" si="1"/>
        <v>229418.08151999998</v>
      </c>
      <c r="E11" s="667">
        <f t="shared" si="2"/>
        <v>24098.34475818932</v>
      </c>
      <c r="F11" s="667">
        <f t="shared" si="3"/>
        <v>205319.73676181067</v>
      </c>
      <c r="G11" s="832"/>
      <c r="H11" s="634" t="s">
        <v>1268</v>
      </c>
      <c r="I11" s="634"/>
      <c r="J11" s="634"/>
      <c r="K11" s="634"/>
      <c r="L11" s="634"/>
      <c r="M11" s="634"/>
      <c r="N11" s="252"/>
      <c r="O11" s="840"/>
      <c r="P11" s="634">
        <v>7</v>
      </c>
      <c r="Q11" s="887">
        <f t="shared" si="7"/>
        <v>17899.176507925906</v>
      </c>
      <c r="R11" s="886">
        <f t="shared" si="8"/>
        <v>161706.24393873088</v>
      </c>
      <c r="S11" s="886">
        <f t="shared" si="9"/>
        <v>42600.04008886365</v>
      </c>
      <c r="T11" s="886">
        <f t="shared" si="10"/>
        <v>1013.4527342161794</v>
      </c>
      <c r="U11" s="886">
        <f t="shared" si="11"/>
        <v>205319.73676181072</v>
      </c>
      <c r="V11" s="829">
        <f t="shared" si="12"/>
        <v>2100.8234920740942</v>
      </c>
      <c r="W11" s="634">
        <f t="shared" si="13"/>
        <v>18979.436061269116</v>
      </c>
      <c r="X11" s="886">
        <f t="shared" si="14"/>
        <v>4999.9599111363441</v>
      </c>
      <c r="Y11" s="886">
        <f t="shared" si="15"/>
        <v>118.94878578382061</v>
      </c>
      <c r="Z11" s="886">
        <f t="shared" si="16"/>
        <v>24098.34475818928</v>
      </c>
      <c r="AA11" s="634">
        <f t="shared" si="17"/>
        <v>229418.08152000001</v>
      </c>
    </row>
    <row r="12" spans="1:34">
      <c r="A12" s="634" t="s">
        <v>1269</v>
      </c>
      <c r="B12" s="663">
        <v>20000</v>
      </c>
      <c r="C12" s="634">
        <f t="shared" si="0"/>
        <v>11.470904075999998</v>
      </c>
      <c r="D12" s="886">
        <f t="shared" si="1"/>
        <v>229418.08151999998</v>
      </c>
      <c r="E12" s="667">
        <f t="shared" si="2"/>
        <v>24098.34475818932</v>
      </c>
      <c r="F12" s="667">
        <f t="shared" si="3"/>
        <v>205319.73676181067</v>
      </c>
      <c r="G12" s="832"/>
      <c r="H12" s="634" t="s">
        <v>1269</v>
      </c>
      <c r="I12" s="634"/>
      <c r="J12" s="634"/>
      <c r="K12" s="634"/>
      <c r="L12" s="634"/>
      <c r="M12" s="634"/>
      <c r="N12" s="252"/>
      <c r="O12" s="840"/>
      <c r="P12" s="634">
        <v>8</v>
      </c>
      <c r="Q12" s="887">
        <f t="shared" si="7"/>
        <v>17899.176507925906</v>
      </c>
      <c r="R12" s="886">
        <f t="shared" si="8"/>
        <v>161706.24393873088</v>
      </c>
      <c r="S12" s="886">
        <f t="shared" si="9"/>
        <v>42600.04008886365</v>
      </c>
      <c r="T12" s="886">
        <f t="shared" si="10"/>
        <v>1013.4527342161794</v>
      </c>
      <c r="U12" s="886">
        <f t="shared" si="11"/>
        <v>205319.73676181072</v>
      </c>
      <c r="V12" s="829">
        <f t="shared" si="12"/>
        <v>2100.8234920740942</v>
      </c>
      <c r="W12" s="634">
        <f t="shared" si="13"/>
        <v>18979.436061269116</v>
      </c>
      <c r="X12" s="886">
        <f t="shared" si="14"/>
        <v>4999.9599111363441</v>
      </c>
      <c r="Y12" s="886">
        <f t="shared" si="15"/>
        <v>118.94878578382061</v>
      </c>
      <c r="Z12" s="886">
        <f t="shared" si="16"/>
        <v>24098.34475818928</v>
      </c>
      <c r="AA12" s="634">
        <f t="shared" si="17"/>
        <v>229418.08152000001</v>
      </c>
    </row>
    <row r="13" spans="1:34">
      <c r="A13" s="634" t="s">
        <v>1270</v>
      </c>
      <c r="B13" s="663">
        <v>30000</v>
      </c>
      <c r="C13" s="634">
        <f t="shared" si="0"/>
        <v>11.470904075999998</v>
      </c>
      <c r="D13" s="886">
        <f t="shared" si="1"/>
        <v>344127.12227999995</v>
      </c>
      <c r="E13" s="667">
        <f t="shared" si="2"/>
        <v>36147.517137283976</v>
      </c>
      <c r="F13" s="667">
        <f t="shared" si="3"/>
        <v>307979.60514271597</v>
      </c>
      <c r="G13" s="832"/>
      <c r="H13" s="634" t="s">
        <v>1270</v>
      </c>
      <c r="I13" s="634"/>
      <c r="J13" s="634"/>
      <c r="K13" s="634"/>
      <c r="L13" s="634"/>
      <c r="M13" s="634"/>
      <c r="N13" s="252"/>
      <c r="O13" s="840"/>
      <c r="P13" s="634">
        <v>9</v>
      </c>
      <c r="Q13" s="887">
        <f t="shared" si="7"/>
        <v>26848.764761888859</v>
      </c>
      <c r="R13" s="886">
        <f t="shared" si="8"/>
        <v>242559.36590809631</v>
      </c>
      <c r="S13" s="886">
        <f t="shared" si="9"/>
        <v>63900.060133295483</v>
      </c>
      <c r="T13" s="886">
        <f t="shared" si="10"/>
        <v>1520.1791013242691</v>
      </c>
      <c r="U13" s="886">
        <f t="shared" si="11"/>
        <v>307979.60514271609</v>
      </c>
      <c r="V13" s="829">
        <f t="shared" si="12"/>
        <v>3151.2352381111414</v>
      </c>
      <c r="W13" s="634">
        <f t="shared" si="13"/>
        <v>28469.154091903674</v>
      </c>
      <c r="X13" s="886">
        <f t="shared" si="14"/>
        <v>7499.9398667045161</v>
      </c>
      <c r="Y13" s="886">
        <f t="shared" si="15"/>
        <v>178.42317867573092</v>
      </c>
      <c r="Z13" s="886">
        <f t="shared" si="16"/>
        <v>36147.517137283918</v>
      </c>
      <c r="AA13" s="634">
        <f t="shared" si="17"/>
        <v>344127.12228000001</v>
      </c>
    </row>
    <row r="14" spans="1:34">
      <c r="A14" s="634" t="s">
        <v>1271</v>
      </c>
      <c r="B14" s="663">
        <v>33000</v>
      </c>
      <c r="C14" s="634">
        <f t="shared" si="0"/>
        <v>11.470904075999998</v>
      </c>
      <c r="D14" s="886">
        <f t="shared" si="1"/>
        <v>378539.83450799994</v>
      </c>
      <c r="E14" s="667">
        <f t="shared" si="2"/>
        <v>39762.26885101237</v>
      </c>
      <c r="F14" s="667">
        <f t="shared" si="3"/>
        <v>338777.5656569876</v>
      </c>
      <c r="G14" s="832"/>
      <c r="H14" s="634" t="s">
        <v>1271</v>
      </c>
      <c r="I14" s="634">
        <v>300</v>
      </c>
      <c r="J14" s="634">
        <v>800</v>
      </c>
      <c r="K14" s="634">
        <f t="shared" si="4"/>
        <v>240000</v>
      </c>
      <c r="L14" s="667">
        <f t="shared" si="5"/>
        <v>26392.503382497871</v>
      </c>
      <c r="M14" s="667">
        <f t="shared" si="6"/>
        <v>213607.49661750213</v>
      </c>
      <c r="N14" s="252"/>
      <c r="O14" s="840"/>
      <c r="P14" s="634">
        <v>10</v>
      </c>
      <c r="Q14" s="887">
        <f t="shared" si="7"/>
        <v>29533.641238077744</v>
      </c>
      <c r="R14" s="886">
        <f t="shared" si="8"/>
        <v>266815.30249890592</v>
      </c>
      <c r="S14" s="886">
        <f t="shared" si="9"/>
        <v>70290.066146625031</v>
      </c>
      <c r="T14" s="886">
        <f t="shared" si="10"/>
        <v>1672.1970114566959</v>
      </c>
      <c r="U14" s="886">
        <f t="shared" si="11"/>
        <v>338777.56565698766</v>
      </c>
      <c r="V14" s="829">
        <f t="shared" si="12"/>
        <v>3466.3587619222562</v>
      </c>
      <c r="W14" s="634">
        <f t="shared" si="13"/>
        <v>31316.069501094047</v>
      </c>
      <c r="X14" s="886">
        <f t="shared" si="14"/>
        <v>8249.9338533749687</v>
      </c>
      <c r="Y14" s="886">
        <f t="shared" si="15"/>
        <v>196.26549654330404</v>
      </c>
      <c r="Z14" s="886">
        <f t="shared" si="16"/>
        <v>39762.268851012319</v>
      </c>
      <c r="AA14" s="634">
        <f t="shared" si="17"/>
        <v>378539.834508</v>
      </c>
    </row>
    <row r="15" spans="1:34">
      <c r="A15" s="634" t="s">
        <v>1272</v>
      </c>
      <c r="B15" s="663">
        <v>35000</v>
      </c>
      <c r="C15" s="634">
        <f t="shared" si="0"/>
        <v>11.470904075999998</v>
      </c>
      <c r="D15" s="886">
        <f t="shared" si="1"/>
        <v>401481.64265999995</v>
      </c>
      <c r="E15" s="667">
        <f t="shared" si="2"/>
        <v>42172.103326831311</v>
      </c>
      <c r="F15" s="667">
        <f t="shared" si="3"/>
        <v>359309.53933316865</v>
      </c>
      <c r="G15" s="832"/>
      <c r="H15" s="634" t="s">
        <v>1272</v>
      </c>
      <c r="I15" s="634">
        <v>582</v>
      </c>
      <c r="J15" s="634">
        <v>800</v>
      </c>
      <c r="K15" s="634">
        <f t="shared" si="4"/>
        <v>465600</v>
      </c>
      <c r="L15" s="667">
        <f t="shared" si="5"/>
        <v>51201.456562045874</v>
      </c>
      <c r="M15" s="667">
        <f t="shared" si="6"/>
        <v>414398.54343795415</v>
      </c>
      <c r="N15" s="252"/>
      <c r="O15" s="840"/>
      <c r="P15" s="634">
        <v>11</v>
      </c>
      <c r="Q15" s="887">
        <f t="shared" si="7"/>
        <v>31323.558888870331</v>
      </c>
      <c r="R15" s="886">
        <f t="shared" si="8"/>
        <v>282985.92689277901</v>
      </c>
      <c r="S15" s="886">
        <f t="shared" si="9"/>
        <v>74550.070155511392</v>
      </c>
      <c r="T15" s="886">
        <f t="shared" si="10"/>
        <v>1773.5422848783137</v>
      </c>
      <c r="U15" s="886">
        <f t="shared" si="11"/>
        <v>359309.53933316871</v>
      </c>
      <c r="V15" s="829">
        <f t="shared" si="12"/>
        <v>3676.4411111296686</v>
      </c>
      <c r="W15" s="634">
        <f t="shared" si="13"/>
        <v>33214.013107220984</v>
      </c>
      <c r="X15" s="886">
        <f t="shared" si="14"/>
        <v>8749.9298444886117</v>
      </c>
      <c r="Y15" s="886">
        <f t="shared" si="15"/>
        <v>208.16037512168629</v>
      </c>
      <c r="Z15" s="886">
        <f t="shared" si="16"/>
        <v>42172.103326831289</v>
      </c>
      <c r="AA15" s="634">
        <f t="shared" si="17"/>
        <v>401481.64266000001</v>
      </c>
    </row>
    <row r="16" spans="1:34">
      <c r="A16" s="634" t="s">
        <v>1273</v>
      </c>
      <c r="B16" s="663">
        <v>36000</v>
      </c>
      <c r="C16" s="634">
        <f>$AE$5+$AF$5+$AG$5</f>
        <v>11.470904075999998</v>
      </c>
      <c r="D16" s="886">
        <f t="shared" si="1"/>
        <v>412952.54673599993</v>
      </c>
      <c r="E16" s="667">
        <f t="shared" si="2"/>
        <v>43377.020564740771</v>
      </c>
      <c r="F16" s="667">
        <f t="shared" si="3"/>
        <v>369575.52617125917</v>
      </c>
      <c r="G16" s="832"/>
      <c r="H16" s="634" t="s">
        <v>1273</v>
      </c>
      <c r="I16" s="634">
        <v>613</v>
      </c>
      <c r="J16" s="634">
        <v>800</v>
      </c>
      <c r="K16" s="634">
        <f t="shared" si="4"/>
        <v>490400</v>
      </c>
      <c r="L16" s="667">
        <f t="shared" si="5"/>
        <v>53928.681911570653</v>
      </c>
      <c r="M16" s="667">
        <f t="shared" si="6"/>
        <v>436471.31808842934</v>
      </c>
      <c r="N16" s="252"/>
      <c r="O16" s="840"/>
      <c r="P16" s="634">
        <v>12</v>
      </c>
      <c r="Q16" s="887">
        <f t="shared" si="7"/>
        <v>32218.517714266629</v>
      </c>
      <c r="R16" s="886">
        <f t="shared" si="8"/>
        <v>291071.23908971559</v>
      </c>
      <c r="S16" s="886">
        <f t="shared" si="9"/>
        <v>76680.07215995458</v>
      </c>
      <c r="T16" s="886">
        <f t="shared" si="10"/>
        <v>1824.2149215891227</v>
      </c>
      <c r="U16" s="886">
        <f t="shared" si="11"/>
        <v>369575.52617125929</v>
      </c>
      <c r="V16" s="829">
        <f t="shared" si="12"/>
        <v>3781.4822857333711</v>
      </c>
      <c r="W16" s="634">
        <f t="shared" si="13"/>
        <v>34162.984910284424</v>
      </c>
      <c r="X16" s="886">
        <f t="shared" si="14"/>
        <v>8999.9278400454223</v>
      </c>
      <c r="Y16" s="886">
        <f t="shared" si="15"/>
        <v>214.10781441087718</v>
      </c>
      <c r="Z16" s="886">
        <f t="shared" si="16"/>
        <v>43377.02056474072</v>
      </c>
      <c r="AA16" s="634">
        <f t="shared" si="17"/>
        <v>412952.54673599999</v>
      </c>
    </row>
    <row r="17" spans="1:27">
      <c r="A17" s="634" t="s">
        <v>1351</v>
      </c>
      <c r="B17" s="663">
        <f>SUM(B5:B16)</f>
        <v>350000</v>
      </c>
      <c r="C17" s="634"/>
      <c r="D17" s="663">
        <f>SUM(D5:D16)</f>
        <v>4014816.4265999994</v>
      </c>
      <c r="E17" s="663">
        <f>SUM(E5:E16)</f>
        <v>421721.03326831298</v>
      </c>
      <c r="F17" s="663">
        <f>SUM(F5:F16)</f>
        <v>3593095.3933316865</v>
      </c>
      <c r="G17" s="832"/>
      <c r="H17" s="634" t="s">
        <v>1351</v>
      </c>
      <c r="I17" s="663">
        <f>SUM(I5:I16)</f>
        <v>3700</v>
      </c>
      <c r="J17" s="634"/>
      <c r="K17" s="663">
        <f>SUM(K5:K16)</f>
        <v>2960000</v>
      </c>
      <c r="L17" s="663">
        <f>SUM(L5:L16)</f>
        <v>325507.54171747377</v>
      </c>
      <c r="M17" s="663">
        <f>SUM(M5:M16)</f>
        <v>2634492.4582825261</v>
      </c>
      <c r="N17" s="252"/>
      <c r="O17" s="840"/>
      <c r="P17" s="894" t="s">
        <v>1351</v>
      </c>
      <c r="Q17" s="887">
        <f t="shared" ref="Q17:AA17" si="18">SUM(Q5:Q16)</f>
        <v>313235.58888870332</v>
      </c>
      <c r="R17" s="886">
        <f t="shared" si="18"/>
        <v>2829859.2689277898</v>
      </c>
      <c r="S17" s="886">
        <f t="shared" si="18"/>
        <v>745500.70155511389</v>
      </c>
      <c r="T17" s="886">
        <f t="shared" si="18"/>
        <v>17735.422848783139</v>
      </c>
      <c r="U17" s="886">
        <f t="shared" si="18"/>
        <v>3593095.3933316874</v>
      </c>
      <c r="V17" s="829">
        <f t="shared" si="18"/>
        <v>36764.411111296664</v>
      </c>
      <c r="W17" s="890">
        <f t="shared" si="18"/>
        <v>332140.13107220962</v>
      </c>
      <c r="X17" s="890">
        <f t="shared" si="18"/>
        <v>87499.298444886037</v>
      </c>
      <c r="Y17" s="890">
        <f t="shared" si="18"/>
        <v>2081.6037512168614</v>
      </c>
      <c r="Z17" s="890">
        <f t="shared" si="18"/>
        <v>421721.03326831257</v>
      </c>
      <c r="AA17" s="890">
        <f t="shared" si="18"/>
        <v>4014816.4266000004</v>
      </c>
    </row>
    <row r="18" spans="1:27">
      <c r="A18" s="664" t="s">
        <v>1513</v>
      </c>
      <c r="B18" s="665">
        <f>B5+B6+B7</f>
        <v>109000</v>
      </c>
      <c r="C18" s="664"/>
      <c r="D18" s="665">
        <f>D5+D6+D7</f>
        <v>1250328.5442839998</v>
      </c>
      <c r="E18" s="665">
        <f>E5+E6+E7</f>
        <v>131335.97893213181</v>
      </c>
      <c r="F18" s="665">
        <f>F5+F6+F7</f>
        <v>1118992.565351868</v>
      </c>
      <c r="G18" s="832"/>
      <c r="H18" s="664" t="s">
        <v>1513</v>
      </c>
      <c r="I18" s="665">
        <f>I5+I6+I7</f>
        <v>1890</v>
      </c>
      <c r="J18" s="664"/>
      <c r="K18" s="665">
        <f>K5+K6+K7</f>
        <v>1512000</v>
      </c>
      <c r="L18" s="665">
        <f>L5+L6+L7</f>
        <v>166272.77130973659</v>
      </c>
      <c r="M18" s="665">
        <f>M5+M6+M7</f>
        <v>1345727.2286902633</v>
      </c>
      <c r="N18" s="252"/>
      <c r="O18" s="840"/>
    </row>
    <row r="19" spans="1:27">
      <c r="A19" s="664" t="s">
        <v>1514</v>
      </c>
      <c r="B19" s="665">
        <f>B8+B9+B10</f>
        <v>67000</v>
      </c>
      <c r="C19" s="664"/>
      <c r="D19" s="665">
        <f>D8+D9+D10</f>
        <v>768550.57309199986</v>
      </c>
      <c r="E19" s="665">
        <f>E8+E9+E10</f>
        <v>80729.454939934221</v>
      </c>
      <c r="F19" s="665">
        <f>F8+F9+F10</f>
        <v>687821.11815206567</v>
      </c>
      <c r="G19" s="832"/>
      <c r="H19" s="664" t="s">
        <v>1514</v>
      </c>
      <c r="I19" s="665">
        <f>I8+I9+I10</f>
        <v>315</v>
      </c>
      <c r="J19" s="664"/>
      <c r="K19" s="665">
        <f>K8+K9+K10</f>
        <v>252000</v>
      </c>
      <c r="L19" s="665">
        <f>L8+L9+L10</f>
        <v>27712.128551622765</v>
      </c>
      <c r="M19" s="665">
        <f>M8+M9+M10</f>
        <v>224287.87144837723</v>
      </c>
      <c r="N19" s="252"/>
      <c r="O19" s="840"/>
    </row>
    <row r="20" spans="1:27">
      <c r="A20" s="664" t="s">
        <v>1515</v>
      </c>
      <c r="B20" s="665">
        <f>B11+B12+B13</f>
        <v>70000</v>
      </c>
      <c r="C20" s="664"/>
      <c r="D20" s="665">
        <f>D11+D12+D13</f>
        <v>802963.28531999991</v>
      </c>
      <c r="E20" s="665">
        <f>E11+E12+E13</f>
        <v>84344.206653662608</v>
      </c>
      <c r="F20" s="665">
        <f>F11+F12+F13</f>
        <v>718619.0786663373</v>
      </c>
      <c r="G20" s="832"/>
      <c r="H20" s="664" t="s">
        <v>1515</v>
      </c>
      <c r="I20" s="665">
        <f>I11+I12+I13</f>
        <v>0</v>
      </c>
      <c r="J20" s="664"/>
      <c r="K20" s="665">
        <f>K11+K12+K13</f>
        <v>0</v>
      </c>
      <c r="L20" s="665">
        <f>L11+L12+L13</f>
        <v>0</v>
      </c>
      <c r="M20" s="665">
        <f>M11+M12+M13</f>
        <v>0</v>
      </c>
      <c r="N20" s="252"/>
      <c r="O20" s="840"/>
      <c r="R20" t="s">
        <v>357</v>
      </c>
      <c r="U20" t="s">
        <v>97</v>
      </c>
      <c r="X20" s="68"/>
    </row>
    <row r="21" spans="1:27">
      <c r="A21" s="664" t="s">
        <v>1276</v>
      </c>
      <c r="B21" s="665">
        <f>B14+B15+B16</f>
        <v>104000</v>
      </c>
      <c r="C21" s="664"/>
      <c r="D21" s="665">
        <f>D14+D15+D16</f>
        <v>1192974.0239039997</v>
      </c>
      <c r="E21" s="665">
        <f>E14+E15+E16</f>
        <v>125311.39274258444</v>
      </c>
      <c r="F21" s="665">
        <f>F14+F15+F16</f>
        <v>1067662.6311614155</v>
      </c>
      <c r="G21" s="832"/>
      <c r="H21" s="664" t="s">
        <v>1276</v>
      </c>
      <c r="I21" s="665">
        <f>I14+I15+I16</f>
        <v>1495</v>
      </c>
      <c r="J21" s="664"/>
      <c r="K21" s="665">
        <f>K14+K15+K16</f>
        <v>1196000</v>
      </c>
      <c r="L21" s="665">
        <f>L14+L15+L16</f>
        <v>131522.64185611441</v>
      </c>
      <c r="M21" s="665">
        <f>M14+M15+M16</f>
        <v>1064477.3581438856</v>
      </c>
      <c r="N21" s="252"/>
      <c r="O21" s="840"/>
      <c r="R21" s="68"/>
    </row>
    <row r="22" spans="1:27">
      <c r="A22" s="664" t="s">
        <v>1351</v>
      </c>
      <c r="B22" s="665">
        <f>SUM(B18:B21)</f>
        <v>350000</v>
      </c>
      <c r="C22" s="664"/>
      <c r="D22" s="891">
        <f>SUM(D18:D21)</f>
        <v>4014816.426599999</v>
      </c>
      <c r="E22" s="665">
        <f>SUM(E18:E21)</f>
        <v>421721.0332683131</v>
      </c>
      <c r="F22" s="665">
        <f>SUM(F18:F21)</f>
        <v>3593095.3933316865</v>
      </c>
      <c r="G22" s="903">
        <f>F22/D22</f>
        <v>0.89495882539629523</v>
      </c>
      <c r="H22" s="664" t="s">
        <v>1351</v>
      </c>
      <c r="I22" s="665">
        <f>SUM(I18:I21)</f>
        <v>3700</v>
      </c>
      <c r="J22" s="664"/>
      <c r="K22" s="665">
        <f>SUM(K18:K21)</f>
        <v>2960000</v>
      </c>
      <c r="L22" s="665">
        <f>SUM(L18:L21)</f>
        <v>325507.54171747377</v>
      </c>
      <c r="M22" s="665">
        <f>SUM(M18:M21)</f>
        <v>2634492.4582825261</v>
      </c>
      <c r="N22" s="252"/>
      <c r="O22" s="902">
        <f>M22/K22</f>
        <v>0.89003123590625888</v>
      </c>
      <c r="R22" s="68"/>
    </row>
    <row r="23" spans="1:27">
      <c r="A23" s="837"/>
      <c r="B23" s="252"/>
      <c r="C23" s="252"/>
      <c r="D23" s="252"/>
      <c r="E23" s="252"/>
      <c r="F23" s="841"/>
      <c r="G23" s="252"/>
      <c r="H23" s="252"/>
      <c r="I23" s="252"/>
      <c r="J23" s="252"/>
      <c r="K23" s="252"/>
      <c r="L23" s="252"/>
      <c r="M23" s="252"/>
      <c r="N23" s="252"/>
      <c r="O23" s="838"/>
    </row>
    <row r="24" spans="1:27">
      <c r="A24" s="842" t="s">
        <v>92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838"/>
    </row>
    <row r="25" spans="1:27">
      <c r="A25" s="837" t="s">
        <v>93</v>
      </c>
      <c r="B25" s="252"/>
      <c r="C25" s="851">
        <f>C2</f>
        <v>11973.4</v>
      </c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838"/>
    </row>
    <row r="26" spans="1:27">
      <c r="A26" s="837" t="s">
        <v>87</v>
      </c>
      <c r="B26" s="252"/>
      <c r="C26" s="851">
        <v>1239.5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838"/>
    </row>
    <row r="27" spans="1:27" ht="41.25" customHeight="1">
      <c r="A27" s="666"/>
      <c r="B27" s="666" t="s">
        <v>1277</v>
      </c>
      <c r="C27" s="666" t="s">
        <v>88</v>
      </c>
      <c r="D27" s="666" t="s">
        <v>89</v>
      </c>
      <c r="E27" s="666" t="s">
        <v>90</v>
      </c>
      <c r="F27" s="666" t="s">
        <v>91</v>
      </c>
      <c r="G27" s="252"/>
      <c r="H27" s="668"/>
      <c r="I27" s="668"/>
      <c r="J27" s="668"/>
      <c r="K27" s="668"/>
      <c r="L27" s="668"/>
      <c r="M27" s="668"/>
      <c r="N27" s="252"/>
      <c r="O27" s="838"/>
    </row>
    <row r="28" spans="1:27">
      <c r="A28" s="634" t="s">
        <v>1262</v>
      </c>
      <c r="B28" s="634">
        <v>36</v>
      </c>
      <c r="C28" s="634">
        <v>303</v>
      </c>
      <c r="D28" s="634">
        <f>B28*C28</f>
        <v>10908</v>
      </c>
      <c r="E28" s="667">
        <f>D28/$C$25*$C$26</f>
        <v>1129.2085790168205</v>
      </c>
      <c r="F28" s="667">
        <f>D28-E28</f>
        <v>9778.7914209831797</v>
      </c>
      <c r="G28" s="252"/>
      <c r="H28" s="669"/>
      <c r="I28" s="252"/>
      <c r="J28" s="252"/>
      <c r="K28" s="252"/>
      <c r="L28" s="252"/>
      <c r="M28" s="252"/>
      <c r="N28" s="252"/>
      <c r="O28" s="838"/>
    </row>
    <row r="29" spans="1:27">
      <c r="A29" s="634" t="s">
        <v>1263</v>
      </c>
      <c r="B29" s="634">
        <v>36</v>
      </c>
      <c r="C29" s="634">
        <v>303</v>
      </c>
      <c r="D29" s="634">
        <f t="shared" ref="D29:D39" si="19">B29*C29</f>
        <v>10908</v>
      </c>
      <c r="E29" s="667">
        <f t="shared" ref="E29:E39" si="20">D29/$C$25*$C$26</f>
        <v>1129.2085790168205</v>
      </c>
      <c r="F29" s="667">
        <f t="shared" ref="F29:F39" si="21">D29-E29</f>
        <v>9778.7914209831797</v>
      </c>
      <c r="G29" s="252"/>
      <c r="H29" s="669"/>
      <c r="I29" s="252"/>
      <c r="J29" s="252"/>
      <c r="K29" s="252"/>
      <c r="L29" s="252"/>
      <c r="M29" s="252"/>
      <c r="N29" s="252"/>
      <c r="O29" s="838"/>
    </row>
    <row r="30" spans="1:27">
      <c r="A30" s="634" t="s">
        <v>1264</v>
      </c>
      <c r="B30" s="634">
        <v>36</v>
      </c>
      <c r="C30" s="634">
        <v>303</v>
      </c>
      <c r="D30" s="634">
        <f t="shared" si="19"/>
        <v>10908</v>
      </c>
      <c r="E30" s="667">
        <f t="shared" si="20"/>
        <v>1129.2085790168205</v>
      </c>
      <c r="F30" s="667">
        <f t="shared" si="21"/>
        <v>9778.7914209831797</v>
      </c>
      <c r="G30" s="252"/>
      <c r="H30" s="252"/>
      <c r="I30" s="252"/>
      <c r="J30" s="252"/>
      <c r="K30" s="252"/>
      <c r="L30" s="252"/>
      <c r="M30" s="252"/>
      <c r="N30" s="252"/>
      <c r="O30" s="838"/>
    </row>
    <row r="31" spans="1:27">
      <c r="A31" s="634" t="s">
        <v>1265</v>
      </c>
      <c r="B31" s="634">
        <v>36</v>
      </c>
      <c r="C31" s="634">
        <v>303</v>
      </c>
      <c r="D31" s="634">
        <f t="shared" si="19"/>
        <v>10908</v>
      </c>
      <c r="E31" s="667">
        <f t="shared" si="20"/>
        <v>1129.2085790168205</v>
      </c>
      <c r="F31" s="667">
        <f t="shared" si="21"/>
        <v>9778.7914209831797</v>
      </c>
      <c r="G31" s="252"/>
      <c r="H31" s="669"/>
      <c r="I31" s="252"/>
      <c r="J31" s="252"/>
      <c r="K31" s="252"/>
      <c r="L31" s="252"/>
      <c r="M31" s="252"/>
      <c r="N31" s="981" t="s">
        <v>181</v>
      </c>
      <c r="O31" s="982"/>
    </row>
    <row r="32" spans="1:27">
      <c r="A32" s="634" t="s">
        <v>1266</v>
      </c>
      <c r="B32" s="634">
        <v>36</v>
      </c>
      <c r="C32" s="634">
        <v>303</v>
      </c>
      <c r="D32" s="634">
        <f t="shared" si="19"/>
        <v>10908</v>
      </c>
      <c r="E32" s="667">
        <f t="shared" si="20"/>
        <v>1129.2085790168205</v>
      </c>
      <c r="F32" s="667">
        <f t="shared" si="21"/>
        <v>9778.7914209831797</v>
      </c>
      <c r="G32" s="252"/>
      <c r="H32" s="669" t="s">
        <v>94</v>
      </c>
      <c r="I32" s="669"/>
      <c r="J32" s="252"/>
      <c r="K32" s="669" t="s">
        <v>180</v>
      </c>
      <c r="L32" s="669"/>
      <c r="M32" s="669"/>
      <c r="N32" s="981"/>
      <c r="O32" s="982"/>
    </row>
    <row r="33" spans="1:15">
      <c r="A33" s="634" t="s">
        <v>1267</v>
      </c>
      <c r="B33" s="634">
        <v>36</v>
      </c>
      <c r="C33" s="634">
        <v>303</v>
      </c>
      <c r="D33" s="634">
        <f t="shared" si="19"/>
        <v>10908</v>
      </c>
      <c r="E33" s="667">
        <f t="shared" si="20"/>
        <v>1129.2085790168205</v>
      </c>
      <c r="F33" s="667">
        <f t="shared" si="21"/>
        <v>9778.7914209831797</v>
      </c>
      <c r="G33" s="252"/>
      <c r="H33" s="252"/>
      <c r="I33" s="252"/>
      <c r="J33" s="252"/>
      <c r="K33" s="252"/>
      <c r="L33" s="252"/>
      <c r="M33" s="252"/>
      <c r="N33" s="252"/>
      <c r="O33" s="838"/>
    </row>
    <row r="34" spans="1:15">
      <c r="A34" s="634" t="s">
        <v>1268</v>
      </c>
      <c r="B34" s="634">
        <v>36</v>
      </c>
      <c r="C34" s="634">
        <v>303</v>
      </c>
      <c r="D34" s="634">
        <f>B34*C34</f>
        <v>10908</v>
      </c>
      <c r="E34" s="667">
        <f t="shared" si="20"/>
        <v>1129.2085790168205</v>
      </c>
      <c r="F34" s="667">
        <f t="shared" si="21"/>
        <v>9778.7914209831797</v>
      </c>
      <c r="G34" s="252"/>
      <c r="H34" s="664" t="s">
        <v>1513</v>
      </c>
      <c r="I34" s="665">
        <f>D41+K18</f>
        <v>1544724</v>
      </c>
      <c r="J34" s="252"/>
      <c r="K34" s="664" t="s">
        <v>1513</v>
      </c>
      <c r="L34" s="665">
        <f>D18+K18+D41</f>
        <v>2795052.5442840001</v>
      </c>
      <c r="M34" s="252"/>
      <c r="N34" s="664" t="s">
        <v>1513</v>
      </c>
      <c r="O34" s="665">
        <f>F18+M18+F41</f>
        <v>2494056.1683050808</v>
      </c>
    </row>
    <row r="35" spans="1:15">
      <c r="A35" s="634" t="s">
        <v>1269</v>
      </c>
      <c r="B35" s="634">
        <v>36</v>
      </c>
      <c r="C35" s="634">
        <v>303</v>
      </c>
      <c r="D35" s="634">
        <f t="shared" si="19"/>
        <v>10908</v>
      </c>
      <c r="E35" s="667">
        <f t="shared" si="20"/>
        <v>1129.2085790168205</v>
      </c>
      <c r="F35" s="667">
        <f t="shared" si="21"/>
        <v>9778.7914209831797</v>
      </c>
      <c r="G35" s="252"/>
      <c r="H35" s="664" t="s">
        <v>1514</v>
      </c>
      <c r="I35" s="665">
        <f>D42+K19</f>
        <v>284724</v>
      </c>
      <c r="J35" s="252"/>
      <c r="K35" s="664" t="s">
        <v>1514</v>
      </c>
      <c r="L35" s="665">
        <f>D19+K19+D42</f>
        <v>1053274.5730919999</v>
      </c>
      <c r="M35" s="252"/>
      <c r="N35" s="664" t="s">
        <v>1514</v>
      </c>
      <c r="O35" s="665">
        <f>F19+M19+F42</f>
        <v>941445.3638633925</v>
      </c>
    </row>
    <row r="36" spans="1:15">
      <c r="A36" s="634" t="s">
        <v>1270</v>
      </c>
      <c r="B36" s="634">
        <v>36</v>
      </c>
      <c r="C36" s="634">
        <v>303</v>
      </c>
      <c r="D36" s="634">
        <f t="shared" si="19"/>
        <v>10908</v>
      </c>
      <c r="E36" s="667">
        <f t="shared" si="20"/>
        <v>1129.2085790168205</v>
      </c>
      <c r="F36" s="667">
        <f t="shared" si="21"/>
        <v>9778.7914209831797</v>
      </c>
      <c r="G36" s="252"/>
      <c r="H36" s="664" t="s">
        <v>1515</v>
      </c>
      <c r="I36" s="665">
        <f>D43+K20</f>
        <v>32724</v>
      </c>
      <c r="J36" s="252"/>
      <c r="K36" s="664" t="s">
        <v>1515</v>
      </c>
      <c r="L36" s="665">
        <f>D20+K20+D43</f>
        <v>835687.28531999991</v>
      </c>
      <c r="M36" s="252"/>
      <c r="N36" s="664" t="s">
        <v>1515</v>
      </c>
      <c r="O36" s="665">
        <f>F20+M20+F43</f>
        <v>747955.45292928687</v>
      </c>
    </row>
    <row r="37" spans="1:15">
      <c r="A37" s="634" t="s">
        <v>1271</v>
      </c>
      <c r="B37" s="634">
        <v>36</v>
      </c>
      <c r="C37" s="634">
        <v>303</v>
      </c>
      <c r="D37" s="634">
        <f t="shared" si="19"/>
        <v>10908</v>
      </c>
      <c r="E37" s="667">
        <f t="shared" si="20"/>
        <v>1129.2085790168205</v>
      </c>
      <c r="F37" s="667">
        <f t="shared" si="21"/>
        <v>9778.7914209831797</v>
      </c>
      <c r="G37" s="252"/>
      <c r="H37" s="664" t="s">
        <v>1276</v>
      </c>
      <c r="I37" s="665">
        <f>D44+K21</f>
        <v>1228724</v>
      </c>
      <c r="J37" s="252"/>
      <c r="K37" s="664" t="s">
        <v>1276</v>
      </c>
      <c r="L37" s="665">
        <f>D21+K21+D44</f>
        <v>2421698.0239039995</v>
      </c>
      <c r="M37" s="252"/>
      <c r="N37" s="664" t="s">
        <v>1276</v>
      </c>
      <c r="O37" s="665">
        <f>F21+M21+F44</f>
        <v>2161476.3635682506</v>
      </c>
    </row>
    <row r="38" spans="1:15">
      <c r="A38" s="634" t="s">
        <v>1272</v>
      </c>
      <c r="B38" s="634">
        <v>36</v>
      </c>
      <c r="C38" s="634">
        <v>303</v>
      </c>
      <c r="D38" s="634">
        <f t="shared" si="19"/>
        <v>10908</v>
      </c>
      <c r="E38" s="667">
        <f t="shared" si="20"/>
        <v>1129.2085790168205</v>
      </c>
      <c r="F38" s="667">
        <f t="shared" si="21"/>
        <v>9778.7914209831797</v>
      </c>
      <c r="G38" s="252"/>
      <c r="H38" s="664" t="s">
        <v>1351</v>
      </c>
      <c r="I38" s="665">
        <f>SUM(I34:I37)</f>
        <v>3090896</v>
      </c>
      <c r="J38" s="252"/>
      <c r="K38" s="664" t="s">
        <v>1351</v>
      </c>
      <c r="L38" s="665">
        <f>SUM(L34:L37)</f>
        <v>7105712.426599999</v>
      </c>
      <c r="M38" s="252"/>
      <c r="N38" s="664" t="s">
        <v>1351</v>
      </c>
      <c r="O38" s="665">
        <f>SUM(O34:O37)-1</f>
        <v>6344932.3486660104</v>
      </c>
    </row>
    <row r="39" spans="1:15">
      <c r="A39" s="634" t="s">
        <v>1273</v>
      </c>
      <c r="B39" s="634">
        <v>36</v>
      </c>
      <c r="C39" s="634">
        <v>303</v>
      </c>
      <c r="D39" s="634">
        <f t="shared" si="19"/>
        <v>10908</v>
      </c>
      <c r="E39" s="667">
        <f t="shared" si="20"/>
        <v>1129.2085790168205</v>
      </c>
      <c r="F39" s="667">
        <f t="shared" si="21"/>
        <v>9778.7914209831797</v>
      </c>
      <c r="G39" s="252"/>
      <c r="H39" s="252"/>
      <c r="I39" s="252"/>
      <c r="J39" s="252"/>
      <c r="K39" s="252"/>
      <c r="L39" s="252"/>
      <c r="M39" s="252"/>
      <c r="N39" s="252"/>
      <c r="O39" s="838"/>
    </row>
    <row r="40" spans="1:15">
      <c r="A40" s="634" t="s">
        <v>1351</v>
      </c>
      <c r="B40" s="663">
        <f>SUM(B28:B39)</f>
        <v>432</v>
      </c>
      <c r="C40" s="634"/>
      <c r="D40" s="663">
        <f>SUM(D28:D39)</f>
        <v>130896</v>
      </c>
      <c r="E40" s="663">
        <f>SUM(E28:E39)</f>
        <v>13550.502948201845</v>
      </c>
      <c r="F40" s="663">
        <f>SUM(F28:F39)</f>
        <v>117345.49705179816</v>
      </c>
      <c r="G40" s="252"/>
      <c r="H40" s="252"/>
      <c r="I40" s="252"/>
      <c r="J40" s="252"/>
      <c r="K40" s="252"/>
      <c r="L40" s="252"/>
      <c r="M40" s="252"/>
      <c r="N40" s="252"/>
      <c r="O40" s="838"/>
    </row>
    <row r="41" spans="1:15">
      <c r="A41" s="664" t="s">
        <v>1513</v>
      </c>
      <c r="B41" s="665">
        <f>B28+B29+B30</f>
        <v>108</v>
      </c>
      <c r="C41" s="664"/>
      <c r="D41" s="665">
        <f>D28+D29+D30</f>
        <v>32724</v>
      </c>
      <c r="E41" s="665">
        <f>E28+E29+E30</f>
        <v>3387.6257370504618</v>
      </c>
      <c r="F41" s="665">
        <f>F28+F29+F30</f>
        <v>29336.374262949539</v>
      </c>
      <c r="G41" s="252"/>
      <c r="H41" s="252"/>
      <c r="I41" s="252"/>
      <c r="J41" s="252"/>
      <c r="K41" s="252"/>
      <c r="L41" s="252"/>
      <c r="M41" s="252"/>
      <c r="N41" s="252"/>
      <c r="O41" s="838"/>
    </row>
    <row r="42" spans="1:15">
      <c r="A42" s="664" t="s">
        <v>1514</v>
      </c>
      <c r="B42" s="665">
        <f>B31+B32+B33</f>
        <v>108</v>
      </c>
      <c r="C42" s="664"/>
      <c r="D42" s="665">
        <f>D31+D32+D33</f>
        <v>32724</v>
      </c>
      <c r="E42" s="665">
        <f>E31+E32+E33</f>
        <v>3387.6257370504618</v>
      </c>
      <c r="F42" s="665">
        <f>F31+F32+F33</f>
        <v>29336.374262949539</v>
      </c>
      <c r="G42" s="252"/>
      <c r="H42" s="252"/>
      <c r="I42" s="252"/>
      <c r="J42" s="252"/>
      <c r="K42" s="252"/>
      <c r="L42" s="252"/>
      <c r="M42" s="252"/>
      <c r="N42" s="252"/>
      <c r="O42" s="838"/>
    </row>
    <row r="43" spans="1:15">
      <c r="A43" s="664" t="s">
        <v>1515</v>
      </c>
      <c r="B43" s="665">
        <f>B34+B35+B36</f>
        <v>108</v>
      </c>
      <c r="C43" s="664"/>
      <c r="D43" s="665">
        <f>D34+D35+D36</f>
        <v>32724</v>
      </c>
      <c r="E43" s="665">
        <f>E34+E35+E36</f>
        <v>3387.6257370504618</v>
      </c>
      <c r="F43" s="665">
        <f>F34+F35+F36</f>
        <v>29336.374262949539</v>
      </c>
      <c r="G43" s="252"/>
      <c r="H43" s="252"/>
      <c r="I43" s="252"/>
      <c r="J43" s="252"/>
      <c r="K43" s="252"/>
      <c r="L43" s="252"/>
      <c r="M43" s="252"/>
      <c r="N43" s="252"/>
      <c r="O43" s="838"/>
    </row>
    <row r="44" spans="1:15">
      <c r="A44" s="664" t="s">
        <v>1276</v>
      </c>
      <c r="B44" s="665">
        <f>B37+B38+B39</f>
        <v>108</v>
      </c>
      <c r="C44" s="664"/>
      <c r="D44" s="665">
        <f>D37+D38+D39</f>
        <v>32724</v>
      </c>
      <c r="E44" s="665">
        <f>E37+E38+E39</f>
        <v>3387.6257370504618</v>
      </c>
      <c r="F44" s="665">
        <f>F37+F38+F39</f>
        <v>29336.374262949539</v>
      </c>
      <c r="G44" s="252"/>
      <c r="H44" s="252"/>
      <c r="I44" s="252"/>
      <c r="J44" s="252"/>
      <c r="K44" s="252"/>
      <c r="L44" s="252"/>
      <c r="M44" s="252"/>
      <c r="N44" s="252"/>
      <c r="O44" s="838"/>
    </row>
    <row r="45" spans="1:15">
      <c r="A45" s="664" t="s">
        <v>1351</v>
      </c>
      <c r="B45" s="665">
        <f>SUM(B41:B44)</f>
        <v>432</v>
      </c>
      <c r="C45" s="664"/>
      <c r="D45" s="665">
        <f>SUM(D41:D44)</f>
        <v>130896</v>
      </c>
      <c r="E45" s="665">
        <f>SUM(E41:E44)</f>
        <v>13550.502948201847</v>
      </c>
      <c r="F45" s="665">
        <f>SUM(F41:F44)</f>
        <v>117345.49705179816</v>
      </c>
      <c r="G45" s="843"/>
      <c r="H45" s="904">
        <f>F45/D45</f>
        <v>0.89647886147627243</v>
      </c>
      <c r="I45" s="843"/>
      <c r="J45" s="843"/>
      <c r="K45" s="843"/>
      <c r="L45" s="843"/>
      <c r="M45" s="843"/>
      <c r="N45" s="843"/>
      <c r="O45" s="844"/>
    </row>
    <row r="47" spans="1:15" ht="15.75">
      <c r="B47" s="288"/>
      <c r="C47" s="288"/>
      <c r="D47" s="288"/>
      <c r="E47" s="288"/>
      <c r="F47" s="288"/>
      <c r="G47" s="288"/>
    </row>
    <row r="48" spans="1:15">
      <c r="F48" s="74"/>
    </row>
  </sheetData>
  <mergeCells count="1">
    <mergeCell ref="N31:O32"/>
  </mergeCells>
  <phoneticPr fontId="55" type="noConversion"/>
  <pageMargins left="0.7" right="0.7" top="0.75" bottom="0.75" header="0.3" footer="0.3"/>
  <pageSetup paperSize="9" scale="3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H21" sqref="H21"/>
    </sheetView>
  </sheetViews>
  <sheetFormatPr defaultRowHeight="15"/>
  <cols>
    <col min="1" max="1" width="20.140625" customWidth="1"/>
    <col min="3" max="3" width="31.85546875" customWidth="1"/>
    <col min="4" max="4" width="22.42578125" customWidth="1"/>
  </cols>
  <sheetData>
    <row r="1" spans="1:4">
      <c r="A1" s="79" t="s">
        <v>363</v>
      </c>
    </row>
    <row r="2" spans="1:4">
      <c r="A2" s="79" t="s">
        <v>350</v>
      </c>
    </row>
    <row r="3" spans="1:4">
      <c r="A3" s="899" t="s">
        <v>83</v>
      </c>
      <c r="B3" s="900"/>
      <c r="C3" s="901"/>
      <c r="D3" s="897">
        <f ca="1">Енергоносії...!F22</f>
        <v>3593095.3933316865</v>
      </c>
    </row>
    <row r="4" spans="1:4">
      <c r="A4" s="899" t="s">
        <v>358</v>
      </c>
      <c r="B4" s="900"/>
      <c r="C4" s="901"/>
      <c r="D4" s="897">
        <f ca="1">Енергоносії...!M22</f>
        <v>2634492.4582825261</v>
      </c>
    </row>
    <row r="5" spans="1:4">
      <c r="A5" s="899" t="s">
        <v>92</v>
      </c>
      <c r="B5" s="900"/>
      <c r="C5" s="901"/>
      <c r="D5" s="897">
        <f ca="1">Енергоносії...!F45</f>
        <v>117345.49705179816</v>
      </c>
    </row>
    <row r="6" spans="1:4">
      <c r="A6" s="899" t="s">
        <v>359</v>
      </c>
      <c r="B6" s="900"/>
      <c r="C6" s="901"/>
      <c r="D6" s="898">
        <f>3593095+2634492+117345</f>
        <v>6344932</v>
      </c>
    </row>
    <row r="7" spans="1:4" ht="60" customHeight="1">
      <c r="A7" s="983" t="s">
        <v>360</v>
      </c>
      <c r="B7" s="984"/>
      <c r="C7" s="985"/>
      <c r="D7" s="663">
        <v>1984007</v>
      </c>
    </row>
    <row r="8" spans="1:4">
      <c r="A8" s="986" t="s">
        <v>361</v>
      </c>
      <c r="B8" s="987"/>
      <c r="C8" s="988"/>
      <c r="D8" s="663">
        <v>3500000</v>
      </c>
    </row>
    <row r="9" spans="1:4">
      <c r="A9" s="989" t="s">
        <v>1525</v>
      </c>
      <c r="B9" s="990"/>
      <c r="C9" s="991"/>
      <c r="D9" s="663">
        <f>D6+D7+D8</f>
        <v>11828939</v>
      </c>
    </row>
    <row r="10" spans="1:4">
      <c r="A10" s="905"/>
      <c r="B10" s="905"/>
      <c r="C10" s="905"/>
      <c r="D10" s="841"/>
    </row>
    <row r="11" spans="1:4">
      <c r="A11" s="905"/>
      <c r="B11" s="905"/>
      <c r="C11" s="905"/>
      <c r="D11" s="841"/>
    </row>
    <row r="13" spans="1:4">
      <c r="D13" s="896">
        <f>SUM(D3:D5)</f>
        <v>6344933.3486660104</v>
      </c>
    </row>
  </sheetData>
  <mergeCells count="3">
    <mergeCell ref="A7:C7"/>
    <mergeCell ref="A8:C8"/>
    <mergeCell ref="A9:C9"/>
  </mergeCells>
  <phoneticPr fontId="55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V152"/>
  <sheetViews>
    <sheetView showGridLines="0" zoomScale="60" zoomScaleNormal="60" workbookViewId="0">
      <selection activeCell="H18" sqref="H18"/>
    </sheetView>
  </sheetViews>
  <sheetFormatPr defaultColWidth="10.7109375" defaultRowHeight="15.75"/>
  <cols>
    <col min="1" max="1" width="3.85546875" style="22" customWidth="1"/>
    <col min="2" max="2" width="117.42578125" style="21" bestFit="1" customWidth="1"/>
    <col min="3" max="3" width="40.140625" style="21" customWidth="1"/>
    <col min="4" max="4" width="28.140625" style="21" customWidth="1"/>
    <col min="5" max="5" width="26.42578125" style="21" customWidth="1"/>
    <col min="6" max="6" width="40.140625" style="21" customWidth="1"/>
    <col min="7" max="11" width="10.7109375" style="21"/>
    <col min="12" max="12" width="12.28515625" style="21" bestFit="1" customWidth="1"/>
    <col min="13" max="16384" width="10.7109375" style="21"/>
  </cols>
  <sheetData>
    <row r="1" spans="1:256" s="15" customFormat="1" ht="16.5">
      <c r="A1" s="32"/>
      <c r="K1" s="16"/>
      <c r="P1" s="16"/>
      <c r="U1" s="16"/>
      <c r="Z1" s="16"/>
      <c r="AE1" s="16"/>
      <c r="AJ1" s="16"/>
      <c r="AO1" s="16"/>
    </row>
    <row r="2" spans="1:256" s="18" customFormat="1" ht="27.75" thickBot="1">
      <c r="A2" s="992"/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2"/>
      <c r="X2" s="992"/>
      <c r="Y2" s="992"/>
      <c r="Z2" s="992"/>
      <c r="AA2" s="992"/>
      <c r="AB2" s="992"/>
      <c r="AC2" s="992"/>
      <c r="AD2" s="992"/>
      <c r="AE2" s="992"/>
      <c r="AF2" s="992"/>
      <c r="AG2" s="17"/>
      <c r="AH2" s="17"/>
      <c r="AI2" s="17"/>
      <c r="AJ2" s="17"/>
      <c r="AK2" s="17"/>
      <c r="AL2" s="17"/>
      <c r="AM2" s="17"/>
      <c r="AN2" s="17"/>
      <c r="AO2" s="17"/>
    </row>
    <row r="3" spans="1:256" s="19" customFormat="1" ht="67.5" customHeight="1" thickTop="1" thickBot="1">
      <c r="A3" s="20"/>
      <c r="B3" s="993" t="s">
        <v>1743</v>
      </c>
      <c r="C3" s="994"/>
      <c r="D3" s="994"/>
      <c r="E3" s="995"/>
    </row>
    <row r="4" spans="1:256" s="48" customFormat="1" ht="21" customHeight="1" thickTop="1">
      <c r="A4" s="47"/>
      <c r="B4" s="49"/>
      <c r="C4" s="49"/>
      <c r="D4" s="49"/>
      <c r="E4" s="49"/>
    </row>
    <row r="5" spans="1:256" ht="16.5">
      <c r="B5" s="6"/>
      <c r="C5" s="6"/>
      <c r="D5" s="6"/>
      <c r="E5" s="31"/>
      <c r="F5" s="31"/>
      <c r="G5" s="31"/>
      <c r="H5" s="31"/>
    </row>
    <row r="6" spans="1:256" ht="100.15" customHeight="1">
      <c r="B6" s="85" t="s">
        <v>1535</v>
      </c>
      <c r="C6" s="85" t="s">
        <v>1536</v>
      </c>
      <c r="D6" s="85" t="s">
        <v>1537</v>
      </c>
      <c r="E6" s="85" t="s">
        <v>1538</v>
      </c>
      <c r="F6" s="85" t="s">
        <v>1560</v>
      </c>
    </row>
    <row r="7" spans="1:256" s="33" customFormat="1">
      <c r="B7" s="86">
        <v>0</v>
      </c>
      <c r="C7" s="86">
        <v>0.1</v>
      </c>
      <c r="D7" s="86">
        <v>0.2</v>
      </c>
      <c r="E7" s="86">
        <v>0.3</v>
      </c>
      <c r="F7" s="87"/>
      <c r="G7" s="21"/>
      <c r="H7" s="21"/>
      <c r="I7" s="21"/>
      <c r="J7" s="21"/>
      <c r="K7" s="21"/>
      <c r="L7" s="21"/>
      <c r="M7" s="21"/>
      <c r="N7" s="21"/>
      <c r="O7" s="21"/>
      <c r="P7" s="21"/>
      <c r="R7" s="21"/>
      <c r="S7" s="21"/>
      <c r="T7" s="21"/>
      <c r="U7" s="21"/>
      <c r="W7" s="21"/>
      <c r="X7" s="21"/>
      <c r="Y7" s="21"/>
      <c r="Z7" s="21"/>
      <c r="AB7" s="21"/>
      <c r="AC7" s="21"/>
      <c r="AD7" s="21"/>
      <c r="AE7" s="21"/>
      <c r="AG7" s="21"/>
      <c r="AH7" s="21"/>
      <c r="AI7" s="21"/>
      <c r="AJ7" s="21"/>
      <c r="AL7" s="21"/>
      <c r="AM7" s="21"/>
      <c r="AN7" s="21"/>
      <c r="AO7" s="21"/>
      <c r="AQ7" s="21"/>
      <c r="AR7" s="21"/>
      <c r="AS7" s="21"/>
      <c r="AT7" s="21"/>
      <c r="AV7" s="21"/>
      <c r="AW7" s="21"/>
      <c r="AX7" s="21"/>
      <c r="AY7" s="21"/>
      <c r="BA7" s="21"/>
      <c r="BB7" s="21"/>
      <c r="BC7" s="21"/>
      <c r="BD7" s="21"/>
      <c r="BF7" s="21"/>
      <c r="BG7" s="21"/>
      <c r="BH7" s="21"/>
      <c r="BI7" s="21"/>
      <c r="BK7" s="21"/>
      <c r="BL7" s="21"/>
      <c r="BM7" s="21"/>
      <c r="BN7" s="21"/>
      <c r="BP7" s="21"/>
      <c r="BQ7" s="21"/>
      <c r="BR7" s="21"/>
      <c r="BS7" s="21"/>
      <c r="BU7" s="21"/>
      <c r="BV7" s="21"/>
      <c r="BW7" s="21"/>
      <c r="BX7" s="21"/>
      <c r="BZ7" s="21"/>
      <c r="CA7" s="21"/>
      <c r="CB7" s="21"/>
      <c r="CC7" s="21"/>
      <c r="CE7" s="21"/>
      <c r="CF7" s="21"/>
      <c r="CG7" s="21"/>
      <c r="CH7" s="21"/>
      <c r="CJ7" s="21"/>
      <c r="CK7" s="21"/>
      <c r="CL7" s="21"/>
      <c r="CM7" s="21"/>
      <c r="CO7" s="21"/>
      <c r="CP7" s="21"/>
      <c r="CQ7" s="21"/>
      <c r="CR7" s="21"/>
      <c r="CT7" s="21"/>
      <c r="CU7" s="21"/>
      <c r="CV7" s="21"/>
      <c r="CW7" s="21"/>
      <c r="CY7" s="21"/>
      <c r="CZ7" s="21"/>
      <c r="DA7" s="21"/>
      <c r="DB7" s="21"/>
      <c r="DD7" s="21"/>
      <c r="DE7" s="21"/>
      <c r="DF7" s="21"/>
      <c r="DG7" s="21"/>
      <c r="DI7" s="21"/>
      <c r="DJ7" s="21"/>
      <c r="DK7" s="21"/>
      <c r="DL7" s="21"/>
      <c r="DN7" s="21"/>
      <c r="DO7" s="21"/>
      <c r="DP7" s="21"/>
      <c r="DQ7" s="21"/>
      <c r="DS7" s="21"/>
      <c r="DT7" s="21"/>
      <c r="DU7" s="21"/>
      <c r="DV7" s="21"/>
      <c r="DX7" s="21"/>
      <c r="DY7" s="21"/>
      <c r="DZ7" s="21"/>
      <c r="EA7" s="21"/>
      <c r="EC7" s="21"/>
      <c r="ED7" s="21"/>
      <c r="EE7" s="21"/>
      <c r="EF7" s="21"/>
      <c r="EH7" s="21"/>
      <c r="EI7" s="21"/>
      <c r="EJ7" s="21"/>
      <c r="EK7" s="21"/>
      <c r="EM7" s="21"/>
      <c r="EN7" s="21"/>
      <c r="EO7" s="21"/>
      <c r="EP7" s="21"/>
      <c r="ER7" s="21"/>
      <c r="ES7" s="21"/>
      <c r="ET7" s="21"/>
      <c r="EU7" s="21"/>
      <c r="EW7" s="21"/>
      <c r="EX7" s="21"/>
      <c r="EY7" s="21"/>
      <c r="EZ7" s="21"/>
      <c r="FB7" s="21"/>
      <c r="FC7" s="21"/>
      <c r="FD7" s="21"/>
      <c r="FE7" s="21"/>
      <c r="FG7" s="21"/>
      <c r="FH7" s="21"/>
      <c r="FI7" s="21"/>
      <c r="FJ7" s="21"/>
      <c r="FL7" s="21"/>
      <c r="FM7" s="21"/>
      <c r="FN7" s="21"/>
      <c r="FO7" s="21"/>
      <c r="FQ7" s="21"/>
      <c r="FR7" s="21"/>
      <c r="FS7" s="21"/>
      <c r="FT7" s="21"/>
      <c r="FV7" s="21"/>
      <c r="FW7" s="21"/>
      <c r="FX7" s="21"/>
      <c r="FY7" s="21"/>
      <c r="GA7" s="21"/>
      <c r="GB7" s="21"/>
      <c r="GC7" s="21"/>
      <c r="GD7" s="21"/>
      <c r="GF7" s="21"/>
      <c r="GG7" s="21"/>
      <c r="GH7" s="21"/>
      <c r="GI7" s="21"/>
      <c r="GK7" s="21"/>
      <c r="GL7" s="21"/>
      <c r="GM7" s="21"/>
      <c r="GN7" s="21"/>
      <c r="GP7" s="21"/>
      <c r="GQ7" s="21"/>
      <c r="GR7" s="21"/>
      <c r="GS7" s="21"/>
      <c r="GU7" s="21"/>
      <c r="GV7" s="21"/>
      <c r="GW7" s="21"/>
      <c r="GX7" s="21"/>
      <c r="GZ7" s="21"/>
      <c r="HA7" s="21"/>
      <c r="HB7" s="21"/>
      <c r="HC7" s="21"/>
      <c r="HE7" s="21"/>
      <c r="HF7" s="21"/>
      <c r="HG7" s="21"/>
      <c r="HH7" s="21"/>
      <c r="HJ7" s="21"/>
      <c r="HK7" s="21"/>
      <c r="HL7" s="21"/>
      <c r="HM7" s="21"/>
      <c r="HO7" s="21"/>
      <c r="HP7" s="21"/>
      <c r="HQ7" s="21"/>
      <c r="HR7" s="21"/>
      <c r="HT7" s="21"/>
      <c r="HU7" s="21"/>
      <c r="HV7" s="21"/>
      <c r="HW7" s="21"/>
      <c r="HY7" s="21"/>
      <c r="HZ7" s="21"/>
      <c r="IA7" s="21"/>
      <c r="IB7" s="21"/>
      <c r="ID7" s="21"/>
      <c r="IE7" s="21"/>
      <c r="IF7" s="21"/>
      <c r="IG7" s="21"/>
      <c r="II7" s="21"/>
      <c r="IJ7" s="21"/>
      <c r="IK7" s="21"/>
      <c r="IL7" s="21"/>
      <c r="IN7" s="21"/>
      <c r="IO7" s="21"/>
      <c r="IP7" s="21"/>
      <c r="IQ7" s="21"/>
      <c r="IS7" s="21"/>
      <c r="IT7" s="21"/>
      <c r="IU7" s="21"/>
      <c r="IV7" s="21"/>
    </row>
    <row r="8" spans="1:256" s="31" customFormat="1">
      <c r="A8" s="22"/>
      <c r="B8" s="88" t="s">
        <v>1539</v>
      </c>
      <c r="C8" s="89"/>
      <c r="D8" s="90"/>
      <c r="E8" s="91">
        <f>SUM($E$9:$E$91)</f>
        <v>0</v>
      </c>
      <c r="F8" s="92"/>
      <c r="G8" s="21"/>
      <c r="H8" s="21"/>
      <c r="I8" s="21"/>
      <c r="J8" s="21"/>
      <c r="K8" s="21"/>
      <c r="L8" s="21"/>
      <c r="M8" s="21"/>
      <c r="N8" s="21"/>
      <c r="O8" s="21"/>
      <c r="P8" s="21"/>
      <c r="R8" s="21"/>
      <c r="S8" s="21"/>
      <c r="T8" s="21"/>
      <c r="U8" s="21"/>
      <c r="W8" s="21"/>
      <c r="X8" s="21"/>
      <c r="Y8" s="21"/>
      <c r="Z8" s="21"/>
      <c r="AB8" s="21"/>
      <c r="AC8" s="21"/>
      <c r="AD8" s="21"/>
      <c r="AE8" s="21"/>
      <c r="AG8" s="21"/>
      <c r="AH8" s="21"/>
      <c r="AI8" s="21"/>
      <c r="AJ8" s="21"/>
      <c r="AL8" s="21"/>
      <c r="AM8" s="21"/>
      <c r="AN8" s="21"/>
      <c r="AO8" s="21"/>
      <c r="AQ8" s="21"/>
      <c r="AR8" s="21"/>
      <c r="AS8" s="21"/>
      <c r="AT8" s="21"/>
      <c r="AV8" s="21"/>
      <c r="AW8" s="21"/>
      <c r="AX8" s="21"/>
      <c r="AY8" s="21"/>
      <c r="BA8" s="21"/>
      <c r="BB8" s="21"/>
      <c r="BC8" s="21"/>
      <c r="BD8" s="21"/>
      <c r="BF8" s="21"/>
      <c r="BG8" s="21"/>
      <c r="BH8" s="21"/>
      <c r="BI8" s="21"/>
      <c r="BK8" s="21"/>
      <c r="BL8" s="21"/>
      <c r="BM8" s="21"/>
      <c r="BN8" s="21"/>
      <c r="BP8" s="21"/>
      <c r="BQ8" s="21"/>
      <c r="BR8" s="21"/>
      <c r="BS8" s="21"/>
      <c r="BU8" s="21"/>
      <c r="BV8" s="21"/>
      <c r="BW8" s="21"/>
      <c r="BX8" s="21"/>
      <c r="BZ8" s="21"/>
      <c r="CA8" s="21"/>
      <c r="CB8" s="21"/>
      <c r="CC8" s="21"/>
      <c r="CE8" s="21"/>
      <c r="CF8" s="21"/>
      <c r="CG8" s="21"/>
      <c r="CH8" s="21"/>
      <c r="CJ8" s="21"/>
      <c r="CK8" s="21"/>
      <c r="CL8" s="21"/>
      <c r="CM8" s="21"/>
      <c r="CO8" s="21"/>
      <c r="CP8" s="21"/>
      <c r="CQ8" s="21"/>
      <c r="CR8" s="21"/>
      <c r="CT8" s="21"/>
      <c r="CU8" s="21"/>
      <c r="CV8" s="21"/>
      <c r="CW8" s="21"/>
      <c r="CY8" s="21"/>
      <c r="CZ8" s="21"/>
      <c r="DA8" s="21"/>
      <c r="DB8" s="21"/>
      <c r="DD8" s="21"/>
      <c r="DE8" s="21"/>
      <c r="DF8" s="21"/>
      <c r="DG8" s="21"/>
      <c r="DI8" s="21"/>
      <c r="DJ8" s="21"/>
      <c r="DK8" s="21"/>
      <c r="DL8" s="21"/>
      <c r="DN8" s="21"/>
      <c r="DO8" s="21"/>
      <c r="DP8" s="21"/>
      <c r="DQ8" s="21"/>
      <c r="DS8" s="21"/>
      <c r="DT8" s="21"/>
      <c r="DU8" s="21"/>
      <c r="DV8" s="21"/>
      <c r="DX8" s="21"/>
      <c r="DY8" s="21"/>
      <c r="DZ8" s="21"/>
      <c r="EA8" s="21"/>
      <c r="EC8" s="21"/>
      <c r="ED8" s="21"/>
      <c r="EE8" s="21"/>
      <c r="EF8" s="21"/>
      <c r="EH8" s="21"/>
      <c r="EI8" s="21"/>
      <c r="EJ8" s="21"/>
      <c r="EK8" s="21"/>
      <c r="EM8" s="21"/>
      <c r="EN8" s="21"/>
      <c r="EO8" s="21"/>
      <c r="EP8" s="21"/>
      <c r="ER8" s="21"/>
      <c r="ES8" s="21"/>
      <c r="ET8" s="21"/>
      <c r="EU8" s="21"/>
      <c r="EW8" s="21"/>
      <c r="EX8" s="21"/>
      <c r="EY8" s="21"/>
      <c r="EZ8" s="21"/>
      <c r="FB8" s="21"/>
      <c r="FC8" s="21"/>
      <c r="FD8" s="21"/>
      <c r="FE8" s="21"/>
      <c r="FG8" s="21"/>
      <c r="FH8" s="21"/>
      <c r="FI8" s="21"/>
      <c r="FJ8" s="21"/>
      <c r="FL8" s="21"/>
      <c r="FM8" s="21"/>
      <c r="FN8" s="21"/>
      <c r="FO8" s="21"/>
      <c r="FQ8" s="21"/>
      <c r="FR8" s="21"/>
      <c r="FS8" s="21"/>
      <c r="FT8" s="21"/>
      <c r="FV8" s="21"/>
      <c r="FW8" s="21"/>
      <c r="FX8" s="21"/>
      <c r="FY8" s="21"/>
      <c r="GA8" s="21"/>
      <c r="GB8" s="21"/>
      <c r="GC8" s="21"/>
      <c r="GD8" s="21"/>
      <c r="GF8" s="21"/>
      <c r="GG8" s="21"/>
      <c r="GH8" s="21"/>
      <c r="GI8" s="21"/>
      <c r="GK8" s="21"/>
      <c r="GL8" s="21"/>
      <c r="GM8" s="21"/>
      <c r="GN8" s="21"/>
      <c r="GP8" s="21"/>
      <c r="GQ8" s="21"/>
      <c r="GR8" s="21"/>
      <c r="GS8" s="21"/>
      <c r="GU8" s="21"/>
      <c r="GV8" s="21"/>
      <c r="GW8" s="21"/>
      <c r="GX8" s="21"/>
      <c r="GZ8" s="21"/>
      <c r="HA8" s="21"/>
      <c r="HB8" s="21"/>
      <c r="HC8" s="21"/>
      <c r="HE8" s="21"/>
      <c r="HF8" s="21"/>
      <c r="HG8" s="21"/>
      <c r="HH8" s="21"/>
      <c r="HJ8" s="21"/>
      <c r="HK8" s="21"/>
      <c r="HL8" s="21"/>
      <c r="HM8" s="21"/>
      <c r="HO8" s="21"/>
      <c r="HP8" s="21"/>
      <c r="HQ8" s="21"/>
      <c r="HR8" s="21"/>
      <c r="HT8" s="21"/>
      <c r="HU8" s="21"/>
      <c r="HV8" s="21"/>
      <c r="HW8" s="21"/>
      <c r="HY8" s="21"/>
      <c r="HZ8" s="21"/>
      <c r="IA8" s="21"/>
      <c r="IB8" s="21"/>
      <c r="ID8" s="21"/>
      <c r="IE8" s="21"/>
      <c r="IF8" s="21"/>
      <c r="IG8" s="21"/>
      <c r="II8" s="21"/>
      <c r="IJ8" s="21"/>
      <c r="IK8" s="21"/>
      <c r="IL8" s="21"/>
      <c r="IN8" s="21"/>
      <c r="IO8" s="21"/>
      <c r="IP8" s="21"/>
      <c r="IQ8" s="21"/>
      <c r="IS8" s="21"/>
      <c r="IT8" s="21"/>
      <c r="IU8" s="21"/>
      <c r="IV8" s="21"/>
    </row>
    <row r="9" spans="1:256">
      <c r="A9" s="8">
        <v>1</v>
      </c>
      <c r="B9" s="93" t="s">
        <v>1561</v>
      </c>
      <c r="C9" s="94"/>
      <c r="D9" s="95"/>
      <c r="E9" s="96">
        <f>IFERROR(C9*D9,)</f>
        <v>0</v>
      </c>
      <c r="F9" s="97"/>
    </row>
    <row r="10" spans="1:256">
      <c r="A10" s="8">
        <v>2</v>
      </c>
      <c r="B10" s="93" t="s">
        <v>1562</v>
      </c>
      <c r="C10" s="94"/>
      <c r="D10" s="95"/>
      <c r="E10" s="96">
        <f t="shared" ref="E10:E24" si="0">IFERROR(C10*D10,)</f>
        <v>0</v>
      </c>
      <c r="F10" s="97"/>
    </row>
    <row r="11" spans="1:256">
      <c r="A11" s="8">
        <v>3</v>
      </c>
      <c r="B11" s="93" t="s">
        <v>1563</v>
      </c>
      <c r="C11" s="94"/>
      <c r="D11" s="95"/>
      <c r="E11" s="96">
        <f t="shared" si="0"/>
        <v>0</v>
      </c>
      <c r="F11" s="97"/>
    </row>
    <row r="12" spans="1:256">
      <c r="A12" s="8">
        <v>4</v>
      </c>
      <c r="B12" s="93" t="s">
        <v>1564</v>
      </c>
      <c r="C12" s="94"/>
      <c r="D12" s="95"/>
      <c r="E12" s="96">
        <f t="shared" si="0"/>
        <v>0</v>
      </c>
      <c r="F12" s="97"/>
    </row>
    <row r="13" spans="1:256">
      <c r="A13" s="8">
        <v>5</v>
      </c>
      <c r="B13" s="93" t="s">
        <v>1565</v>
      </c>
      <c r="C13" s="94"/>
      <c r="D13" s="95"/>
      <c r="E13" s="96">
        <f t="shared" si="0"/>
        <v>0</v>
      </c>
      <c r="F13" s="97"/>
    </row>
    <row r="14" spans="1:256">
      <c r="A14" s="8">
        <v>6</v>
      </c>
      <c r="B14" s="93" t="s">
        <v>1566</v>
      </c>
      <c r="C14" s="94"/>
      <c r="D14" s="95"/>
      <c r="E14" s="96">
        <f t="shared" si="0"/>
        <v>0</v>
      </c>
      <c r="F14" s="97"/>
    </row>
    <row r="15" spans="1:256">
      <c r="A15" s="8">
        <v>7</v>
      </c>
      <c r="B15" s="93" t="s">
        <v>1567</v>
      </c>
      <c r="C15" s="94"/>
      <c r="D15" s="95"/>
      <c r="E15" s="96">
        <f t="shared" si="0"/>
        <v>0</v>
      </c>
      <c r="F15" s="97"/>
    </row>
    <row r="16" spans="1:256">
      <c r="A16" s="8">
        <v>8</v>
      </c>
      <c r="B16" s="93" t="s">
        <v>1568</v>
      </c>
      <c r="C16" s="94"/>
      <c r="D16" s="95"/>
      <c r="E16" s="96">
        <f t="shared" si="0"/>
        <v>0</v>
      </c>
      <c r="F16" s="97"/>
    </row>
    <row r="17" spans="1:6">
      <c r="A17" s="8">
        <v>9</v>
      </c>
      <c r="B17" s="93" t="s">
        <v>1569</v>
      </c>
      <c r="C17" s="94"/>
      <c r="D17" s="95"/>
      <c r="E17" s="96">
        <f t="shared" si="0"/>
        <v>0</v>
      </c>
      <c r="F17" s="97"/>
    </row>
    <row r="18" spans="1:6">
      <c r="A18" s="8">
        <v>10</v>
      </c>
      <c r="B18" s="93" t="s">
        <v>1570</v>
      </c>
      <c r="C18" s="94"/>
      <c r="D18" s="95"/>
      <c r="E18" s="96">
        <f t="shared" si="0"/>
        <v>0</v>
      </c>
      <c r="F18" s="97"/>
    </row>
    <row r="19" spans="1:6">
      <c r="A19" s="8">
        <v>11</v>
      </c>
      <c r="B19" s="93" t="s">
        <v>1571</v>
      </c>
      <c r="C19" s="94"/>
      <c r="D19" s="95"/>
      <c r="E19" s="96">
        <f t="shared" si="0"/>
        <v>0</v>
      </c>
      <c r="F19" s="97"/>
    </row>
    <row r="20" spans="1:6">
      <c r="A20" s="8">
        <v>12</v>
      </c>
      <c r="B20" s="93" t="s">
        <v>1572</v>
      </c>
      <c r="C20" s="94"/>
      <c r="D20" s="95"/>
      <c r="E20" s="96">
        <f t="shared" si="0"/>
        <v>0</v>
      </c>
      <c r="F20" s="97"/>
    </row>
    <row r="21" spans="1:6" ht="21" customHeight="1">
      <c r="A21" s="8">
        <v>13</v>
      </c>
      <c r="B21" s="93" t="s">
        <v>1573</v>
      </c>
      <c r="C21" s="94"/>
      <c r="D21" s="95"/>
      <c r="E21" s="96">
        <f t="shared" si="0"/>
        <v>0</v>
      </c>
      <c r="F21" s="97"/>
    </row>
    <row r="22" spans="1:6">
      <c r="A22" s="8">
        <v>14</v>
      </c>
      <c r="B22" s="93" t="s">
        <v>1574</v>
      </c>
      <c r="C22" s="94"/>
      <c r="D22" s="95"/>
      <c r="E22" s="96">
        <f t="shared" si="0"/>
        <v>0</v>
      </c>
      <c r="F22" s="97"/>
    </row>
    <row r="23" spans="1:6" ht="39" customHeight="1">
      <c r="A23" s="8">
        <v>15</v>
      </c>
      <c r="B23" s="93" t="s">
        <v>1575</v>
      </c>
      <c r="C23" s="94"/>
      <c r="D23" s="95"/>
      <c r="E23" s="96">
        <f t="shared" si="0"/>
        <v>0</v>
      </c>
      <c r="F23" s="97"/>
    </row>
    <row r="24" spans="1:6">
      <c r="A24" s="8">
        <v>16</v>
      </c>
      <c r="B24" s="93" t="s">
        <v>1576</v>
      </c>
      <c r="C24" s="94"/>
      <c r="D24" s="95"/>
      <c r="E24" s="96">
        <f t="shared" si="0"/>
        <v>0</v>
      </c>
      <c r="F24" s="97"/>
    </row>
    <row r="25" spans="1:6" ht="31.5">
      <c r="A25" s="8"/>
      <c r="B25" s="93" t="s">
        <v>1389</v>
      </c>
      <c r="C25" s="94"/>
      <c r="D25" s="95"/>
      <c r="E25" s="96">
        <f>IFERROR(C25*D25,)</f>
        <v>0</v>
      </c>
      <c r="F25" s="97"/>
    </row>
    <row r="26" spans="1:6" ht="47.25">
      <c r="A26" s="8">
        <v>19</v>
      </c>
      <c r="B26" s="93" t="s">
        <v>1390</v>
      </c>
      <c r="C26" s="98"/>
      <c r="D26" s="98"/>
      <c r="E26" s="99"/>
      <c r="F26" s="100"/>
    </row>
    <row r="27" spans="1:6">
      <c r="A27" s="8">
        <v>19.100000000000001</v>
      </c>
      <c r="B27" s="101" t="s">
        <v>1577</v>
      </c>
      <c r="C27" s="94"/>
      <c r="D27" s="95"/>
      <c r="E27" s="96">
        <f t="shared" ref="E27:E36" si="1">IFERROR(C27*D27,)</f>
        <v>0</v>
      </c>
      <c r="F27" s="97"/>
    </row>
    <row r="28" spans="1:6">
      <c r="A28" s="8">
        <v>19.2</v>
      </c>
      <c r="B28" s="101" t="s">
        <v>1578</v>
      </c>
      <c r="C28" s="94"/>
      <c r="D28" s="95"/>
      <c r="E28" s="96">
        <f t="shared" si="1"/>
        <v>0</v>
      </c>
      <c r="F28" s="97"/>
    </row>
    <row r="29" spans="1:6">
      <c r="A29" s="8">
        <v>19.3</v>
      </c>
      <c r="B29" s="101" t="s">
        <v>1579</v>
      </c>
      <c r="C29" s="94"/>
      <c r="D29" s="95"/>
      <c r="E29" s="96">
        <f t="shared" si="1"/>
        <v>0</v>
      </c>
      <c r="F29" s="97"/>
    </row>
    <row r="30" spans="1:6">
      <c r="A30" s="8">
        <v>19.399999999999999</v>
      </c>
      <c r="B30" s="101" t="s">
        <v>1580</v>
      </c>
      <c r="C30" s="94"/>
      <c r="D30" s="95"/>
      <c r="E30" s="96">
        <f t="shared" si="1"/>
        <v>0</v>
      </c>
      <c r="F30" s="97"/>
    </row>
    <row r="31" spans="1:6">
      <c r="A31" s="8">
        <v>19.5</v>
      </c>
      <c r="B31" s="101" t="s">
        <v>1581</v>
      </c>
      <c r="C31" s="94"/>
      <c r="D31" s="95"/>
      <c r="E31" s="96">
        <f t="shared" si="1"/>
        <v>0</v>
      </c>
      <c r="F31" s="97"/>
    </row>
    <row r="32" spans="1:6">
      <c r="A32" s="8">
        <v>19.600000000000001</v>
      </c>
      <c r="B32" s="101" t="s">
        <v>1582</v>
      </c>
      <c r="C32" s="94"/>
      <c r="D32" s="95"/>
      <c r="E32" s="96">
        <f t="shared" si="1"/>
        <v>0</v>
      </c>
      <c r="F32" s="97"/>
    </row>
    <row r="33" spans="1:6">
      <c r="A33" s="8"/>
      <c r="B33" s="101" t="s">
        <v>1391</v>
      </c>
      <c r="C33" s="94"/>
      <c r="D33" s="95"/>
      <c r="E33" s="96">
        <f t="shared" si="1"/>
        <v>0</v>
      </c>
      <c r="F33" s="97"/>
    </row>
    <row r="34" spans="1:6">
      <c r="A34" s="8">
        <v>19.7</v>
      </c>
      <c r="B34" s="101" t="s">
        <v>1583</v>
      </c>
      <c r="C34" s="94"/>
      <c r="D34" s="95"/>
      <c r="E34" s="96">
        <f t="shared" si="1"/>
        <v>0</v>
      </c>
      <c r="F34" s="97"/>
    </row>
    <row r="35" spans="1:6">
      <c r="A35" s="8">
        <v>19.8</v>
      </c>
      <c r="B35" s="101" t="s">
        <v>1584</v>
      </c>
      <c r="C35" s="94"/>
      <c r="D35" s="95"/>
      <c r="E35" s="96">
        <f t="shared" si="1"/>
        <v>0</v>
      </c>
      <c r="F35" s="97"/>
    </row>
    <row r="36" spans="1:6">
      <c r="A36" s="8">
        <v>19.899999999999999</v>
      </c>
      <c r="B36" s="101" t="s">
        <v>1585</v>
      </c>
      <c r="C36" s="94"/>
      <c r="D36" s="95"/>
      <c r="E36" s="96">
        <f t="shared" si="1"/>
        <v>0</v>
      </c>
      <c r="F36" s="97"/>
    </row>
    <row r="37" spans="1:6">
      <c r="A37" s="8"/>
      <c r="B37" s="93" t="s">
        <v>1392</v>
      </c>
      <c r="C37" s="102"/>
      <c r="D37" s="103"/>
      <c r="E37" s="104"/>
      <c r="F37" s="100"/>
    </row>
    <row r="38" spans="1:6">
      <c r="A38" s="8"/>
      <c r="B38" s="101" t="s">
        <v>1395</v>
      </c>
      <c r="C38" s="94"/>
      <c r="D38" s="95"/>
      <c r="E38" s="96">
        <f t="shared" ref="E38:E68" si="2">IFERROR(C38*D38,)</f>
        <v>0</v>
      </c>
      <c r="F38" s="97"/>
    </row>
    <row r="39" spans="1:6">
      <c r="A39" s="8"/>
      <c r="B39" s="101" t="s">
        <v>1396</v>
      </c>
      <c r="C39" s="94"/>
      <c r="D39" s="95"/>
      <c r="E39" s="96">
        <f t="shared" si="2"/>
        <v>0</v>
      </c>
      <c r="F39" s="97"/>
    </row>
    <row r="40" spans="1:6">
      <c r="A40" s="8"/>
      <c r="B40" s="101" t="s">
        <v>1397</v>
      </c>
      <c r="C40" s="94"/>
      <c r="D40" s="95"/>
      <c r="E40" s="96">
        <f t="shared" si="2"/>
        <v>0</v>
      </c>
      <c r="F40" s="97"/>
    </row>
    <row r="41" spans="1:6">
      <c r="A41" s="8"/>
      <c r="B41" s="101" t="s">
        <v>1398</v>
      </c>
      <c r="C41" s="94"/>
      <c r="D41" s="95"/>
      <c r="E41" s="96">
        <f t="shared" si="2"/>
        <v>0</v>
      </c>
      <c r="F41" s="97"/>
    </row>
    <row r="42" spans="1:6">
      <c r="A42" s="8"/>
      <c r="B42" s="101" t="s">
        <v>1399</v>
      </c>
      <c r="C42" s="94"/>
      <c r="D42" s="95"/>
      <c r="E42" s="96">
        <f t="shared" si="2"/>
        <v>0</v>
      </c>
      <c r="F42" s="97"/>
    </row>
    <row r="43" spans="1:6">
      <c r="A43" s="8"/>
      <c r="B43" s="101" t="s">
        <v>1400</v>
      </c>
      <c r="C43" s="94"/>
      <c r="D43" s="95"/>
      <c r="E43" s="96">
        <f t="shared" si="2"/>
        <v>0</v>
      </c>
      <c r="F43" s="97"/>
    </row>
    <row r="44" spans="1:6">
      <c r="A44" s="8"/>
      <c r="B44" s="101" t="s">
        <v>1401</v>
      </c>
      <c r="C44" s="94"/>
      <c r="D44" s="95"/>
      <c r="E44" s="96">
        <f t="shared" si="2"/>
        <v>0</v>
      </c>
      <c r="F44" s="97"/>
    </row>
    <row r="45" spans="1:6">
      <c r="A45" s="8"/>
      <c r="B45" s="101" t="s">
        <v>1402</v>
      </c>
      <c r="C45" s="94"/>
      <c r="D45" s="95"/>
      <c r="E45" s="96">
        <f t="shared" si="2"/>
        <v>0</v>
      </c>
      <c r="F45" s="97"/>
    </row>
    <row r="46" spans="1:6">
      <c r="A46" s="8"/>
      <c r="B46" s="101" t="s">
        <v>1403</v>
      </c>
      <c r="C46" s="94"/>
      <c r="D46" s="95"/>
      <c r="E46" s="96">
        <f t="shared" si="2"/>
        <v>0</v>
      </c>
      <c r="F46" s="97"/>
    </row>
    <row r="47" spans="1:6">
      <c r="A47" s="8"/>
      <c r="B47" s="101" t="s">
        <v>1413</v>
      </c>
      <c r="C47" s="94"/>
      <c r="D47" s="95"/>
      <c r="E47" s="96">
        <f t="shared" si="2"/>
        <v>0</v>
      </c>
      <c r="F47" s="97"/>
    </row>
    <row r="48" spans="1:6">
      <c r="A48" s="8"/>
      <c r="B48" s="101" t="s">
        <v>1404</v>
      </c>
      <c r="C48" s="94"/>
      <c r="D48" s="95"/>
      <c r="E48" s="96">
        <f t="shared" si="2"/>
        <v>0</v>
      </c>
      <c r="F48" s="97"/>
    </row>
    <row r="49" spans="1:6">
      <c r="A49" s="8"/>
      <c r="B49" s="101" t="s">
        <v>1405</v>
      </c>
      <c r="C49" s="94"/>
      <c r="D49" s="95"/>
      <c r="E49" s="96">
        <f t="shared" si="2"/>
        <v>0</v>
      </c>
      <c r="F49" s="97"/>
    </row>
    <row r="50" spans="1:6">
      <c r="A50" s="8"/>
      <c r="B50" s="101" t="s">
        <v>1406</v>
      </c>
      <c r="C50" s="94"/>
      <c r="D50" s="95"/>
      <c r="E50" s="96">
        <f t="shared" si="2"/>
        <v>0</v>
      </c>
      <c r="F50" s="97"/>
    </row>
    <row r="51" spans="1:6">
      <c r="A51" s="8"/>
      <c r="B51" s="101" t="s">
        <v>1407</v>
      </c>
      <c r="C51" s="94"/>
      <c r="D51" s="95"/>
      <c r="E51" s="96">
        <f>IFERROR(C51*D51,)</f>
        <v>0</v>
      </c>
      <c r="F51" s="97"/>
    </row>
    <row r="52" spans="1:6">
      <c r="A52" s="8"/>
      <c r="B52" s="101" t="s">
        <v>1408</v>
      </c>
      <c r="C52" s="94"/>
      <c r="D52" s="95"/>
      <c r="E52" s="96">
        <f t="shared" si="2"/>
        <v>0</v>
      </c>
      <c r="F52" s="97"/>
    </row>
    <row r="53" spans="1:6">
      <c r="A53" s="8"/>
      <c r="B53" s="101" t="s">
        <v>1409</v>
      </c>
      <c r="C53" s="94"/>
      <c r="D53" s="95"/>
      <c r="E53" s="96">
        <f t="shared" si="2"/>
        <v>0</v>
      </c>
      <c r="F53" s="97"/>
    </row>
    <row r="54" spans="1:6">
      <c r="A54" s="8"/>
      <c r="B54" s="101" t="s">
        <v>1410</v>
      </c>
      <c r="C54" s="94"/>
      <c r="D54" s="95"/>
      <c r="E54" s="96">
        <f t="shared" si="2"/>
        <v>0</v>
      </c>
      <c r="F54" s="97"/>
    </row>
    <row r="55" spans="1:6">
      <c r="A55" s="8"/>
      <c r="B55" s="101" t="s">
        <v>1411</v>
      </c>
      <c r="C55" s="94"/>
      <c r="D55" s="95"/>
      <c r="E55" s="96">
        <f t="shared" si="2"/>
        <v>0</v>
      </c>
      <c r="F55" s="97"/>
    </row>
    <row r="56" spans="1:6">
      <c r="A56" s="8"/>
      <c r="B56" s="101" t="s">
        <v>1412</v>
      </c>
      <c r="C56" s="94"/>
      <c r="D56" s="95"/>
      <c r="E56" s="96">
        <f t="shared" si="2"/>
        <v>0</v>
      </c>
      <c r="F56" s="97"/>
    </row>
    <row r="57" spans="1:6" ht="31.15" customHeight="1">
      <c r="A57" s="8"/>
      <c r="B57" s="93" t="s">
        <v>1394</v>
      </c>
      <c r="C57" s="102"/>
      <c r="D57" s="103"/>
      <c r="E57" s="104"/>
      <c r="F57" s="100"/>
    </row>
    <row r="58" spans="1:6">
      <c r="A58" s="8"/>
      <c r="B58" s="101" t="s">
        <v>1414</v>
      </c>
      <c r="C58" s="94"/>
      <c r="D58" s="95"/>
      <c r="E58" s="96">
        <f t="shared" si="2"/>
        <v>0</v>
      </c>
      <c r="F58" s="97"/>
    </row>
    <row r="59" spans="1:6">
      <c r="A59" s="8"/>
      <c r="B59" s="101" t="s">
        <v>1415</v>
      </c>
      <c r="C59" s="94"/>
      <c r="D59" s="95"/>
      <c r="E59" s="96">
        <f t="shared" si="2"/>
        <v>0</v>
      </c>
      <c r="F59" s="97"/>
    </row>
    <row r="60" spans="1:6">
      <c r="A60" s="8"/>
      <c r="B60" s="101" t="s">
        <v>1416</v>
      </c>
      <c r="C60" s="94"/>
      <c r="D60" s="95"/>
      <c r="E60" s="96">
        <f t="shared" si="2"/>
        <v>0</v>
      </c>
      <c r="F60" s="97"/>
    </row>
    <row r="61" spans="1:6">
      <c r="A61" s="8"/>
      <c r="B61" s="101" t="s">
        <v>1417</v>
      </c>
      <c r="C61" s="94"/>
      <c r="D61" s="95"/>
      <c r="E61" s="96">
        <f t="shared" si="2"/>
        <v>0</v>
      </c>
      <c r="F61" s="97"/>
    </row>
    <row r="62" spans="1:6">
      <c r="A62" s="8"/>
      <c r="B62" s="101" t="s">
        <v>1418</v>
      </c>
      <c r="C62" s="94"/>
      <c r="D62" s="95"/>
      <c r="E62" s="96">
        <f t="shared" si="2"/>
        <v>0</v>
      </c>
      <c r="F62" s="97"/>
    </row>
    <row r="63" spans="1:6">
      <c r="A63" s="8"/>
      <c r="B63" s="101" t="s">
        <v>1419</v>
      </c>
      <c r="C63" s="94"/>
      <c r="D63" s="95"/>
      <c r="E63" s="96">
        <f>IFERROR(C63*D63,)</f>
        <v>0</v>
      </c>
      <c r="F63" s="97"/>
    </row>
    <row r="64" spans="1:6">
      <c r="A64" s="8"/>
      <c r="B64" s="101" t="s">
        <v>1420</v>
      </c>
      <c r="C64" s="94"/>
      <c r="D64" s="95"/>
      <c r="E64" s="96">
        <f t="shared" si="2"/>
        <v>0</v>
      </c>
      <c r="F64" s="97"/>
    </row>
    <row r="65" spans="1:6">
      <c r="A65" s="8"/>
      <c r="B65" s="101" t="s">
        <v>1421</v>
      </c>
      <c r="C65" s="94"/>
      <c r="D65" s="95"/>
      <c r="E65" s="96">
        <f t="shared" si="2"/>
        <v>0</v>
      </c>
      <c r="F65" s="97"/>
    </row>
    <row r="66" spans="1:6">
      <c r="A66" s="8"/>
      <c r="B66" s="101" t="s">
        <v>1422</v>
      </c>
      <c r="C66" s="94"/>
      <c r="D66" s="95"/>
      <c r="E66" s="96">
        <f t="shared" si="2"/>
        <v>0</v>
      </c>
      <c r="F66" s="97"/>
    </row>
    <row r="67" spans="1:6">
      <c r="A67" s="8"/>
      <c r="B67" s="101" t="s">
        <v>1423</v>
      </c>
      <c r="C67" s="94"/>
      <c r="D67" s="95"/>
      <c r="E67" s="96">
        <f t="shared" si="2"/>
        <v>0</v>
      </c>
      <c r="F67" s="97"/>
    </row>
    <row r="68" spans="1:6">
      <c r="A68" s="8"/>
      <c r="B68" s="101" t="s">
        <v>1424</v>
      </c>
      <c r="C68" s="94"/>
      <c r="D68" s="95"/>
      <c r="E68" s="96">
        <f t="shared" si="2"/>
        <v>0</v>
      </c>
      <c r="F68" s="97"/>
    </row>
    <row r="69" spans="1:6" ht="22.15" customHeight="1">
      <c r="A69" s="8"/>
      <c r="B69" s="93" t="s">
        <v>1393</v>
      </c>
      <c r="C69" s="94"/>
      <c r="D69" s="95"/>
      <c r="E69" s="96">
        <f t="shared" ref="E69:E77" si="3">IFERROR(C69*D69,)</f>
        <v>0</v>
      </c>
      <c r="F69" s="97"/>
    </row>
    <row r="70" spans="1:6" ht="22.15" customHeight="1">
      <c r="A70" s="8">
        <v>20</v>
      </c>
      <c r="B70" s="93" t="s">
        <v>1367</v>
      </c>
      <c r="C70" s="94"/>
      <c r="D70" s="95"/>
      <c r="E70" s="96">
        <f t="shared" si="3"/>
        <v>0</v>
      </c>
      <c r="F70" s="97"/>
    </row>
    <row r="71" spans="1:6" ht="21" customHeight="1">
      <c r="A71" s="8">
        <v>21</v>
      </c>
      <c r="B71" s="93" t="s">
        <v>1368</v>
      </c>
      <c r="C71" s="94"/>
      <c r="D71" s="95"/>
      <c r="E71" s="96">
        <f t="shared" si="3"/>
        <v>0</v>
      </c>
      <c r="F71" s="97"/>
    </row>
    <row r="72" spans="1:6">
      <c r="A72" s="8">
        <v>22</v>
      </c>
      <c r="B72" s="93" t="s">
        <v>1586</v>
      </c>
      <c r="C72" s="94"/>
      <c r="D72" s="95"/>
      <c r="E72" s="96">
        <f t="shared" si="3"/>
        <v>0</v>
      </c>
      <c r="F72" s="97"/>
    </row>
    <row r="73" spans="1:6">
      <c r="A73" s="8">
        <v>23</v>
      </c>
      <c r="B73" s="93" t="s">
        <v>1587</v>
      </c>
      <c r="C73" s="94"/>
      <c r="D73" s="95"/>
      <c r="E73" s="96">
        <f t="shared" si="3"/>
        <v>0</v>
      </c>
      <c r="F73" s="97"/>
    </row>
    <row r="74" spans="1:6">
      <c r="A74" s="8">
        <v>24</v>
      </c>
      <c r="B74" s="93" t="s">
        <v>1588</v>
      </c>
      <c r="C74" s="94"/>
      <c r="D74" s="95"/>
      <c r="E74" s="96">
        <f t="shared" si="3"/>
        <v>0</v>
      </c>
      <c r="F74" s="97"/>
    </row>
    <row r="75" spans="1:6">
      <c r="A75" s="8">
        <v>25</v>
      </c>
      <c r="B75" s="93" t="s">
        <v>1589</v>
      </c>
      <c r="C75" s="94"/>
      <c r="D75" s="95"/>
      <c r="E75" s="96">
        <f t="shared" si="3"/>
        <v>0</v>
      </c>
      <c r="F75" s="97"/>
    </row>
    <row r="76" spans="1:6">
      <c r="A76" s="8">
        <v>26</v>
      </c>
      <c r="B76" s="93" t="s">
        <v>1590</v>
      </c>
      <c r="C76" s="94"/>
      <c r="D76" s="95"/>
      <c r="E76" s="96">
        <f t="shared" si="3"/>
        <v>0</v>
      </c>
      <c r="F76" s="97"/>
    </row>
    <row r="77" spans="1:6">
      <c r="A77" s="8">
        <v>27</v>
      </c>
      <c r="B77" s="93" t="s">
        <v>1591</v>
      </c>
      <c r="C77" s="94"/>
      <c r="D77" s="95"/>
      <c r="E77" s="96">
        <f t="shared" si="3"/>
        <v>0</v>
      </c>
      <c r="F77" s="97"/>
    </row>
    <row r="78" spans="1:6" ht="31.5">
      <c r="A78" s="8">
        <v>28</v>
      </c>
      <c r="B78" s="93" t="s">
        <v>1369</v>
      </c>
      <c r="C78" s="98"/>
      <c r="D78" s="98">
        <v>0</v>
      </c>
      <c r="E78" s="99"/>
      <c r="F78" s="100"/>
    </row>
    <row r="79" spans="1:6">
      <c r="A79" s="8">
        <v>28.1</v>
      </c>
      <c r="B79" s="101" t="s">
        <v>1592</v>
      </c>
      <c r="C79" s="94"/>
      <c r="D79" s="95"/>
      <c r="E79" s="96">
        <f t="shared" ref="E79:E84" si="4">IFERROR(C79*D79,)</f>
        <v>0</v>
      </c>
      <c r="F79" s="97"/>
    </row>
    <row r="80" spans="1:6">
      <c r="A80" s="8">
        <v>28.2</v>
      </c>
      <c r="B80" s="101" t="s">
        <v>1593</v>
      </c>
      <c r="C80" s="94"/>
      <c r="D80" s="95"/>
      <c r="E80" s="96">
        <f t="shared" si="4"/>
        <v>0</v>
      </c>
      <c r="F80" s="97"/>
    </row>
    <row r="81" spans="1:6">
      <c r="A81" s="8">
        <v>28.3</v>
      </c>
      <c r="B81" s="101" t="s">
        <v>1594</v>
      </c>
      <c r="C81" s="94"/>
      <c r="D81" s="95"/>
      <c r="E81" s="96">
        <f t="shared" si="4"/>
        <v>0</v>
      </c>
      <c r="F81" s="97"/>
    </row>
    <row r="82" spans="1:6">
      <c r="A82" s="8">
        <v>28.4</v>
      </c>
      <c r="B82" s="101" t="s">
        <v>1595</v>
      </c>
      <c r="C82" s="94"/>
      <c r="D82" s="95"/>
      <c r="E82" s="96">
        <f t="shared" si="4"/>
        <v>0</v>
      </c>
      <c r="F82" s="97"/>
    </row>
    <row r="83" spans="1:6">
      <c r="A83" s="8">
        <v>28.5</v>
      </c>
      <c r="B83" s="101" t="s">
        <v>1596</v>
      </c>
      <c r="C83" s="94"/>
      <c r="D83" s="95"/>
      <c r="E83" s="96">
        <f t="shared" si="4"/>
        <v>0</v>
      </c>
      <c r="F83" s="97"/>
    </row>
    <row r="84" spans="1:6">
      <c r="A84" s="8">
        <v>28.6</v>
      </c>
      <c r="B84" s="101" t="s">
        <v>1597</v>
      </c>
      <c r="C84" s="94"/>
      <c r="D84" s="95"/>
      <c r="E84" s="96">
        <f t="shared" si="4"/>
        <v>0</v>
      </c>
      <c r="F84" s="97"/>
    </row>
    <row r="85" spans="1:6" ht="31.5">
      <c r="A85" s="8">
        <v>29</v>
      </c>
      <c r="B85" s="93" t="s">
        <v>1370</v>
      </c>
      <c r="C85" s="98"/>
      <c r="D85" s="98"/>
      <c r="E85" s="99"/>
      <c r="F85" s="100"/>
    </row>
    <row r="86" spans="1:6">
      <c r="A86" s="8">
        <v>29.1</v>
      </c>
      <c r="B86" s="101" t="s">
        <v>1371</v>
      </c>
      <c r="C86" s="94"/>
      <c r="D86" s="95"/>
      <c r="E86" s="96">
        <f t="shared" ref="E86:E91" si="5">IFERROR(C86*D86,)</f>
        <v>0</v>
      </c>
      <c r="F86" s="97"/>
    </row>
    <row r="87" spans="1:6">
      <c r="A87" s="8">
        <v>29.2</v>
      </c>
      <c r="B87" s="101" t="s">
        <v>1598</v>
      </c>
      <c r="C87" s="94"/>
      <c r="D87" s="95"/>
      <c r="E87" s="96">
        <f t="shared" si="5"/>
        <v>0</v>
      </c>
      <c r="F87" s="97"/>
    </row>
    <row r="88" spans="1:6">
      <c r="A88" s="8">
        <v>30</v>
      </c>
      <c r="B88" s="93" t="s">
        <v>1599</v>
      </c>
      <c r="C88" s="94"/>
      <c r="D88" s="95"/>
      <c r="E88" s="96">
        <f t="shared" si="5"/>
        <v>0</v>
      </c>
      <c r="F88" s="97"/>
    </row>
    <row r="89" spans="1:6">
      <c r="A89" s="8">
        <v>31</v>
      </c>
      <c r="B89" s="93" t="s">
        <v>1600</v>
      </c>
      <c r="C89" s="94"/>
      <c r="D89" s="95"/>
      <c r="E89" s="96">
        <f t="shared" si="5"/>
        <v>0</v>
      </c>
      <c r="F89" s="97"/>
    </row>
    <row r="90" spans="1:6">
      <c r="A90" s="8">
        <v>32</v>
      </c>
      <c r="B90" s="93" t="s">
        <v>1601</v>
      </c>
      <c r="C90" s="94"/>
      <c r="D90" s="95"/>
      <c r="E90" s="96">
        <f t="shared" si="5"/>
        <v>0</v>
      </c>
      <c r="F90" s="97"/>
    </row>
    <row r="91" spans="1:6">
      <c r="A91" s="8">
        <v>33</v>
      </c>
      <c r="B91" s="93" t="s">
        <v>1329</v>
      </c>
      <c r="C91" s="94"/>
      <c r="D91" s="95"/>
      <c r="E91" s="96">
        <f t="shared" si="5"/>
        <v>0</v>
      </c>
      <c r="F91" s="97"/>
    </row>
    <row r="92" spans="1:6" s="31" customFormat="1" ht="31.5">
      <c r="A92" s="8">
        <v>0</v>
      </c>
      <c r="B92" s="105" t="s">
        <v>1346</v>
      </c>
      <c r="C92" s="106"/>
      <c r="D92" s="107"/>
      <c r="E92" s="91">
        <f>SUM($E$93:$E$105)</f>
        <v>0</v>
      </c>
      <c r="F92" s="92"/>
    </row>
    <row r="93" spans="1:6">
      <c r="A93" s="8">
        <v>34</v>
      </c>
      <c r="B93" s="93" t="s">
        <v>1343</v>
      </c>
      <c r="C93" s="94"/>
      <c r="D93" s="95"/>
      <c r="E93" s="96">
        <f t="shared" ref="E93:E105" si="6">IFERROR(C93*D93,)</f>
        <v>0</v>
      </c>
      <c r="F93" s="97"/>
    </row>
    <row r="94" spans="1:6">
      <c r="A94" s="8">
        <v>35</v>
      </c>
      <c r="B94" s="93" t="s">
        <v>1330</v>
      </c>
      <c r="C94" s="94"/>
      <c r="D94" s="95"/>
      <c r="E94" s="96">
        <f t="shared" si="6"/>
        <v>0</v>
      </c>
      <c r="F94" s="97"/>
    </row>
    <row r="95" spans="1:6">
      <c r="A95" s="8">
        <v>36</v>
      </c>
      <c r="B95" s="93" t="s">
        <v>1331</v>
      </c>
      <c r="C95" s="94"/>
      <c r="D95" s="95"/>
      <c r="E95" s="96">
        <f t="shared" si="6"/>
        <v>0</v>
      </c>
      <c r="F95" s="97"/>
    </row>
    <row r="96" spans="1:6">
      <c r="A96" s="8">
        <v>37</v>
      </c>
      <c r="B96" s="93" t="s">
        <v>1332</v>
      </c>
      <c r="C96" s="94"/>
      <c r="D96" s="95"/>
      <c r="E96" s="96">
        <f t="shared" si="6"/>
        <v>0</v>
      </c>
      <c r="F96" s="97"/>
    </row>
    <row r="97" spans="1:6">
      <c r="A97" s="8">
        <v>38</v>
      </c>
      <c r="B97" s="93" t="s">
        <v>1333</v>
      </c>
      <c r="C97" s="94"/>
      <c r="D97" s="95"/>
      <c r="E97" s="96">
        <f t="shared" si="6"/>
        <v>0</v>
      </c>
      <c r="F97" s="97"/>
    </row>
    <row r="98" spans="1:6">
      <c r="A98" s="8">
        <v>39</v>
      </c>
      <c r="B98" s="93" t="s">
        <v>1334</v>
      </c>
      <c r="C98" s="94"/>
      <c r="D98" s="95"/>
      <c r="E98" s="96">
        <f t="shared" si="6"/>
        <v>0</v>
      </c>
      <c r="F98" s="97"/>
    </row>
    <row r="99" spans="1:6">
      <c r="A99" s="8">
        <v>40</v>
      </c>
      <c r="B99" s="93" t="s">
        <v>1335</v>
      </c>
      <c r="C99" s="94"/>
      <c r="D99" s="95"/>
      <c r="E99" s="96">
        <f t="shared" si="6"/>
        <v>0</v>
      </c>
      <c r="F99" s="97"/>
    </row>
    <row r="100" spans="1:6">
      <c r="A100" s="8">
        <v>41</v>
      </c>
      <c r="B100" s="93" t="s">
        <v>1336</v>
      </c>
      <c r="C100" s="94"/>
      <c r="D100" s="95"/>
      <c r="E100" s="96">
        <f t="shared" si="6"/>
        <v>0</v>
      </c>
      <c r="F100" s="97"/>
    </row>
    <row r="101" spans="1:6">
      <c r="A101" s="8">
        <v>42</v>
      </c>
      <c r="B101" s="93" t="s">
        <v>1337</v>
      </c>
      <c r="C101" s="94"/>
      <c r="D101" s="95"/>
      <c r="E101" s="96">
        <f t="shared" si="6"/>
        <v>0</v>
      </c>
      <c r="F101" s="97"/>
    </row>
    <row r="102" spans="1:6">
      <c r="A102" s="8">
        <v>43</v>
      </c>
      <c r="B102" s="93" t="s">
        <v>1338</v>
      </c>
      <c r="C102" s="94"/>
      <c r="D102" s="95"/>
      <c r="E102" s="96">
        <f t="shared" si="6"/>
        <v>0</v>
      </c>
      <c r="F102" s="97"/>
    </row>
    <row r="103" spans="1:6">
      <c r="A103" s="8">
        <v>44</v>
      </c>
      <c r="B103" s="93" t="s">
        <v>1339</v>
      </c>
      <c r="C103" s="94"/>
      <c r="D103" s="95"/>
      <c r="E103" s="96">
        <f t="shared" si="6"/>
        <v>0</v>
      </c>
      <c r="F103" s="97"/>
    </row>
    <row r="104" spans="1:6">
      <c r="A104" s="8">
        <v>45</v>
      </c>
      <c r="B104" s="93" t="s">
        <v>1340</v>
      </c>
      <c r="C104" s="94"/>
      <c r="D104" s="95"/>
      <c r="E104" s="96">
        <f t="shared" si="6"/>
        <v>0</v>
      </c>
      <c r="F104" s="97"/>
    </row>
    <row r="105" spans="1:6">
      <c r="A105" s="8">
        <v>46</v>
      </c>
      <c r="B105" s="93" t="s">
        <v>1341</v>
      </c>
      <c r="C105" s="94"/>
      <c r="D105" s="95"/>
      <c r="E105" s="96">
        <f t="shared" si="6"/>
        <v>0</v>
      </c>
      <c r="F105" s="97"/>
    </row>
    <row r="106" spans="1:6">
      <c r="A106" s="8">
        <v>0</v>
      </c>
      <c r="B106" s="105" t="s">
        <v>1347</v>
      </c>
      <c r="C106" s="108"/>
      <c r="D106" s="109"/>
      <c r="E106" s="91">
        <f>SUM($E$107:$E$111)</f>
        <v>0</v>
      </c>
      <c r="F106" s="100"/>
    </row>
    <row r="107" spans="1:6">
      <c r="A107" s="8">
        <v>47</v>
      </c>
      <c r="B107" s="93" t="s">
        <v>1342</v>
      </c>
      <c r="C107" s="94"/>
      <c r="D107" s="95"/>
      <c r="E107" s="96">
        <f>IFERROR(C107*D107,)</f>
        <v>0</v>
      </c>
      <c r="F107" s="97"/>
    </row>
    <row r="108" spans="1:6" ht="31.5">
      <c r="A108" s="8">
        <v>48</v>
      </c>
      <c r="B108" s="93" t="s">
        <v>1372</v>
      </c>
      <c r="C108" s="94"/>
      <c r="D108" s="95"/>
      <c r="E108" s="96">
        <f>IFERROR(C108*D108,)</f>
        <v>0</v>
      </c>
      <c r="F108" s="97"/>
    </row>
    <row r="109" spans="1:6">
      <c r="A109" s="8">
        <v>49</v>
      </c>
      <c r="B109" s="93" t="s">
        <v>1373</v>
      </c>
      <c r="C109" s="94"/>
      <c r="D109" s="95"/>
      <c r="E109" s="96">
        <f>IFERROR(C109*D109,)</f>
        <v>0</v>
      </c>
      <c r="F109" s="97"/>
    </row>
    <row r="110" spans="1:6">
      <c r="A110" s="8">
        <v>50</v>
      </c>
      <c r="B110" s="110" t="s">
        <v>1344</v>
      </c>
      <c r="C110" s="94"/>
      <c r="D110" s="95"/>
      <c r="E110" s="96">
        <f>IFERROR(C110*D110,)</f>
        <v>0</v>
      </c>
      <c r="F110" s="97"/>
    </row>
    <row r="111" spans="1:6">
      <c r="A111" s="8">
        <v>51</v>
      </c>
      <c r="B111" s="110" t="s">
        <v>1345</v>
      </c>
      <c r="C111" s="94"/>
      <c r="D111" s="95"/>
      <c r="E111" s="96">
        <f>IFERROR(C111*D111,)</f>
        <v>0</v>
      </c>
      <c r="F111" s="97"/>
    </row>
    <row r="112" spans="1:6">
      <c r="A112" s="8"/>
      <c r="B112" s="88" t="s">
        <v>1540</v>
      </c>
      <c r="C112" s="108"/>
      <c r="D112" s="109"/>
      <c r="E112" s="91">
        <f>SUM($E$113:$E$123)</f>
        <v>0</v>
      </c>
      <c r="F112" s="100"/>
    </row>
    <row r="113" spans="1:256">
      <c r="A113" s="8"/>
      <c r="B113" s="111"/>
      <c r="C113" s="94"/>
      <c r="D113" s="95"/>
      <c r="E113" s="96">
        <f t="shared" ref="E113:E123" si="7">IFERROR(C113*D113,)</f>
        <v>0</v>
      </c>
      <c r="F113" s="97"/>
    </row>
    <row r="114" spans="1:256">
      <c r="A114" s="8"/>
      <c r="B114" s="111"/>
      <c r="C114" s="94"/>
      <c r="D114" s="95"/>
      <c r="E114" s="96">
        <f t="shared" si="7"/>
        <v>0</v>
      </c>
      <c r="F114" s="97"/>
    </row>
    <row r="115" spans="1:256">
      <c r="A115" s="8"/>
      <c r="B115" s="111"/>
      <c r="C115" s="94"/>
      <c r="D115" s="95"/>
      <c r="E115" s="96">
        <f t="shared" si="7"/>
        <v>0</v>
      </c>
      <c r="F115" s="97"/>
    </row>
    <row r="116" spans="1:256">
      <c r="A116" s="8"/>
      <c r="B116" s="111"/>
      <c r="C116" s="94"/>
      <c r="D116" s="95"/>
      <c r="E116" s="96">
        <f t="shared" si="7"/>
        <v>0</v>
      </c>
      <c r="F116" s="97"/>
    </row>
    <row r="117" spans="1:256">
      <c r="A117" s="8"/>
      <c r="B117" s="111"/>
      <c r="C117" s="94"/>
      <c r="D117" s="95"/>
      <c r="E117" s="96">
        <f t="shared" si="7"/>
        <v>0</v>
      </c>
      <c r="F117" s="97"/>
    </row>
    <row r="118" spans="1:256">
      <c r="A118" s="8"/>
      <c r="B118" s="111"/>
      <c r="C118" s="94"/>
      <c r="D118" s="95"/>
      <c r="E118" s="96">
        <f t="shared" si="7"/>
        <v>0</v>
      </c>
      <c r="F118" s="97"/>
    </row>
    <row r="119" spans="1:256">
      <c r="A119" s="8"/>
      <c r="B119" s="111"/>
      <c r="C119" s="94"/>
      <c r="D119" s="95"/>
      <c r="E119" s="96">
        <f t="shared" si="7"/>
        <v>0</v>
      </c>
      <c r="F119" s="97"/>
    </row>
    <row r="120" spans="1:256">
      <c r="A120" s="8"/>
      <c r="B120" s="111"/>
      <c r="C120" s="94"/>
      <c r="D120" s="95"/>
      <c r="E120" s="96">
        <f t="shared" si="7"/>
        <v>0</v>
      </c>
      <c r="F120" s="97"/>
    </row>
    <row r="121" spans="1:256">
      <c r="A121" s="8"/>
      <c r="B121" s="111"/>
      <c r="C121" s="94"/>
      <c r="D121" s="95"/>
      <c r="E121" s="96">
        <f t="shared" si="7"/>
        <v>0</v>
      </c>
      <c r="F121" s="97"/>
    </row>
    <row r="122" spans="1:256">
      <c r="A122" s="8"/>
      <c r="B122" s="111"/>
      <c r="C122" s="94"/>
      <c r="D122" s="95"/>
      <c r="E122" s="96">
        <f t="shared" si="7"/>
        <v>0</v>
      </c>
      <c r="F122" s="97"/>
    </row>
    <row r="123" spans="1:256">
      <c r="A123" s="8"/>
      <c r="B123" s="111"/>
      <c r="C123" s="94"/>
      <c r="D123" s="95"/>
      <c r="E123" s="96">
        <f t="shared" si="7"/>
        <v>0</v>
      </c>
      <c r="F123" s="97"/>
    </row>
    <row r="124" spans="1:256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</row>
    <row r="125" spans="1:256" ht="94.5">
      <c r="A125" s="8"/>
      <c r="B125" s="14" t="s">
        <v>1366</v>
      </c>
      <c r="C125" s="13">
        <v>20000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</row>
    <row r="126" spans="1:256" s="9" customFormat="1" ht="34.9" customHeight="1">
      <c r="A126" s="7"/>
      <c r="B126" s="23"/>
      <c r="C126" s="24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</row>
    <row r="127" spans="1:256" s="9" customFormat="1" ht="63.6" customHeight="1">
      <c r="A127" s="7"/>
      <c r="B127" s="996" t="s">
        <v>1364</v>
      </c>
      <c r="C127" s="99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</row>
    <row r="128" spans="1:256" ht="23.25">
      <c r="B128" s="52" t="s">
        <v>1551</v>
      </c>
      <c r="C128" s="41"/>
      <c r="D128" s="997"/>
      <c r="E128" s="997"/>
      <c r="F128" s="99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6" ht="23.25">
      <c r="B129" s="52" t="s">
        <v>1549</v>
      </c>
      <c r="C129" s="41"/>
      <c r="D129" s="997"/>
      <c r="E129" s="997"/>
      <c r="F129" s="997"/>
    </row>
    <row r="130" spans="1:6" ht="23.25">
      <c r="B130" s="52" t="s">
        <v>1550</v>
      </c>
      <c r="C130" s="41">
        <f>SUMIFS(E79:E84,F79:F84,"більше 1 року",D79:D84,"&lt;20000")+SUMIFS(E86:E87,F86:F87,"більше 1 року",D86:D87,"&lt;20000")+SUMIFS(E89,F89,"більше 1 року",D89,"&lt;20000")</f>
        <v>0</v>
      </c>
      <c r="D130" s="997"/>
      <c r="E130" s="997"/>
      <c r="F130" s="997"/>
    </row>
    <row r="132" spans="1:6" ht="25.9" customHeight="1"/>
    <row r="133" spans="1:6" ht="60" customHeight="1">
      <c r="B133" s="996" t="s">
        <v>1365</v>
      </c>
      <c r="C133" s="996"/>
    </row>
    <row r="134" spans="1:6" ht="25.9" customHeight="1">
      <c r="B134" s="52" t="s">
        <v>1551</v>
      </c>
      <c r="C134" s="41">
        <f>SUMIF(F9:F25,"до 1 року",E9:E25)+SUMIF(F27:F36,"до 1 року",E27:E36)+SUMIF(F38:F56,"до 1 року",E38:E56)+SUMIF(F58:F77,"до 1 року",E58:E77)+SUMIF(F88,"до 1 року",E88)+SUMIF(F90:F91,"до 1 року",E90:E91)+SUMIF(F93:F105,"до 1 року",E93:E105)+SUMIF(F107:F111,"до 1 року",E107:E111)+SUMIF(F113:F123,"до 1 року",E113:E123)</f>
        <v>0</v>
      </c>
    </row>
    <row r="135" spans="1:6" ht="25.9" customHeight="1">
      <c r="B135" s="52" t="s">
        <v>1549</v>
      </c>
      <c r="C135" s="46">
        <v>0</v>
      </c>
    </row>
    <row r="136" spans="1:6" ht="25.9" customHeight="1">
      <c r="B136" s="52" t="s">
        <v>1550</v>
      </c>
      <c r="C136" s="41">
        <v>0</v>
      </c>
    </row>
    <row r="137" spans="1:6" ht="25.9" customHeight="1"/>
    <row r="138" spans="1:6" ht="23.25">
      <c r="B138" s="25" t="s">
        <v>1354</v>
      </c>
      <c r="C138" s="26">
        <v>0.25</v>
      </c>
      <c r="D138" s="26">
        <v>0.25</v>
      </c>
      <c r="E138" s="26">
        <v>0.25</v>
      </c>
      <c r="F138" s="26">
        <v>0.25</v>
      </c>
    </row>
    <row r="139" spans="1:6" ht="25.9" customHeight="1">
      <c r="B139" s="27"/>
      <c r="C139" s="28"/>
      <c r="D139" s="28"/>
      <c r="E139" s="28"/>
      <c r="F139" s="28"/>
    </row>
    <row r="140" spans="1:6" ht="40.5">
      <c r="B140" s="10" t="s">
        <v>1322</v>
      </c>
      <c r="C140" s="29" t="s">
        <v>1519</v>
      </c>
      <c r="D140" s="29" t="s">
        <v>1514</v>
      </c>
      <c r="E140" s="29" t="s">
        <v>1515</v>
      </c>
      <c r="F140" s="29" t="s">
        <v>1552</v>
      </c>
    </row>
    <row r="141" spans="1:6" ht="26.25">
      <c r="B141" s="5" t="s">
        <v>1551</v>
      </c>
      <c r="C141" s="42">
        <f>15000</f>
        <v>15000</v>
      </c>
      <c r="D141" s="42">
        <f>C141</f>
        <v>15000</v>
      </c>
      <c r="E141" s="42">
        <f>D141</f>
        <v>15000</v>
      </c>
      <c r="F141" s="42">
        <f>E141</f>
        <v>15000</v>
      </c>
    </row>
    <row r="142" spans="1:6" ht="26.25">
      <c r="B142" s="5" t="s">
        <v>1549</v>
      </c>
      <c r="C142" s="42"/>
      <c r="D142" s="42"/>
      <c r="E142" s="42"/>
      <c r="F142" s="42"/>
    </row>
    <row r="143" spans="1:6" ht="26.25">
      <c r="B143" s="5" t="s">
        <v>1550</v>
      </c>
      <c r="C143" s="42">
        <f>C130*C138</f>
        <v>0</v>
      </c>
      <c r="D143" s="42">
        <f>C130*D138</f>
        <v>0</v>
      </c>
      <c r="E143" s="42">
        <f>C130*E138</f>
        <v>0</v>
      </c>
      <c r="F143" s="42">
        <f>C130*F138</f>
        <v>0</v>
      </c>
    </row>
    <row r="144" spans="1:6" s="45" customFormat="1" ht="38.450000000000003" customHeight="1">
      <c r="A144" s="43"/>
      <c r="B144" s="40" t="s">
        <v>1351</v>
      </c>
      <c r="C144" s="44">
        <f>C141+C142+C143</f>
        <v>15000</v>
      </c>
      <c r="D144" s="44">
        <f>D141+D142+D143</f>
        <v>15000</v>
      </c>
      <c r="E144" s="44">
        <f>E141+E142+E143</f>
        <v>15000</v>
      </c>
      <c r="F144" s="44">
        <f>F141+F142+F143</f>
        <v>15000</v>
      </c>
    </row>
    <row r="145" spans="1:6" ht="48.6" customHeight="1">
      <c r="B145" s="11"/>
      <c r="C145" s="30"/>
      <c r="D145" s="30"/>
      <c r="E145" s="30"/>
      <c r="F145" s="30"/>
    </row>
    <row r="146" spans="1:6" ht="23.25">
      <c r="B146" s="25" t="s">
        <v>1353</v>
      </c>
      <c r="C146" s="26">
        <v>0.25</v>
      </c>
      <c r="D146" s="26">
        <v>0.25</v>
      </c>
      <c r="E146" s="26">
        <v>0.25</v>
      </c>
      <c r="F146" s="26">
        <v>0.25</v>
      </c>
    </row>
    <row r="147" spans="1:6" ht="33.6" customHeight="1">
      <c r="B147" s="27"/>
      <c r="C147" s="28"/>
      <c r="D147" s="28"/>
      <c r="E147" s="28"/>
      <c r="F147" s="28"/>
    </row>
    <row r="148" spans="1:6" ht="97.15" customHeight="1">
      <c r="B148" s="12" t="s">
        <v>1355</v>
      </c>
      <c r="C148" s="29" t="s">
        <v>1519</v>
      </c>
      <c r="D148" s="29" t="s">
        <v>1514</v>
      </c>
      <c r="E148" s="29" t="s">
        <v>1515</v>
      </c>
      <c r="F148" s="29" t="s">
        <v>1552</v>
      </c>
    </row>
    <row r="149" spans="1:6" ht="32.450000000000003" customHeight="1">
      <c r="B149" s="5" t="s">
        <v>1551</v>
      </c>
      <c r="C149" s="42">
        <f>$C$134*C146</f>
        <v>0</v>
      </c>
      <c r="D149" s="42">
        <f>$C$134*D146</f>
        <v>0</v>
      </c>
      <c r="E149" s="42">
        <f>$C$134*E146</f>
        <v>0</v>
      </c>
      <c r="F149" s="42">
        <f>$C$134*F146</f>
        <v>0</v>
      </c>
    </row>
    <row r="150" spans="1:6" ht="29.45" customHeight="1">
      <c r="B150" s="5" t="s">
        <v>1549</v>
      </c>
      <c r="C150" s="42">
        <f>$C$135*C146</f>
        <v>0</v>
      </c>
      <c r="D150" s="42">
        <f>$C$135*D146</f>
        <v>0</v>
      </c>
      <c r="E150" s="42">
        <f>$C$135*E146</f>
        <v>0</v>
      </c>
      <c r="F150" s="42">
        <f>$C$135*F146</f>
        <v>0</v>
      </c>
    </row>
    <row r="151" spans="1:6" ht="30.6" customHeight="1">
      <c r="B151" s="5" t="s">
        <v>1550</v>
      </c>
      <c r="C151" s="42">
        <f>$C$136*C146</f>
        <v>0</v>
      </c>
      <c r="D151" s="42">
        <f>$C$136*D146</f>
        <v>0</v>
      </c>
      <c r="E151" s="42">
        <f>$C$136*E146</f>
        <v>0</v>
      </c>
      <c r="F151" s="42">
        <f>$C$136*F146</f>
        <v>0</v>
      </c>
    </row>
    <row r="152" spans="1:6" s="45" customFormat="1" ht="33" customHeight="1">
      <c r="A152" s="43"/>
      <c r="B152" s="40" t="s">
        <v>1351</v>
      </c>
      <c r="C152" s="44">
        <f>C149+C150+C151</f>
        <v>0</v>
      </c>
      <c r="D152" s="44">
        <f>D149+D150+D151</f>
        <v>0</v>
      </c>
      <c r="E152" s="44">
        <f>E149+E150+E151</f>
        <v>0</v>
      </c>
      <c r="F152" s="44">
        <f>F149+F150+F151</f>
        <v>0</v>
      </c>
    </row>
  </sheetData>
  <sheetProtection autoFilter="0"/>
  <protectedRanges>
    <protectedRange sqref="B113:B123" name="Найменування інші"/>
    <protectedRange sqref="D79:D84 D86:D91 D93:D105 D107:D111 D113:D123 D27:D77 D9:D25" name="Оціночна вартість"/>
  </protectedRanges>
  <autoFilter ref="B7:E7"/>
  <mergeCells count="7">
    <mergeCell ref="A2:AF2"/>
    <mergeCell ref="B3:E3"/>
    <mergeCell ref="B133:C133"/>
    <mergeCell ref="D129:F129"/>
    <mergeCell ref="D130:F130"/>
    <mergeCell ref="D128:F128"/>
    <mergeCell ref="B127:C127"/>
  </mergeCells>
  <phoneticPr fontId="0" type="noConversion"/>
  <conditionalFormatting sqref="C9:D123 F9:F123">
    <cfRule type="notContainsBlanks" dxfId="1" priority="3">
      <formula>LEN(TRIM(C9))&gt;0</formula>
    </cfRule>
    <cfRule type="notContainsBlanks" dxfId="0" priority="4">
      <formula>LEN(TRIM(C9))&gt;0</formula>
    </cfRule>
  </conditionalFormatting>
  <dataValidations count="2">
    <dataValidation type="decimal" operator="greaterThanOrEqual" allowBlank="1" showInputMessage="1" showErrorMessage="1" error="Розділення цілої та дробової частини числа має бути введено через крапку &quot;.&quot;_x000a_Наприклад: 23.10" sqref="D93:D105 D107:D111 D113:D123 D9:D91">
      <formula1>0</formula1>
    </dataValidation>
    <dataValidation type="list" allowBlank="1" showInputMessage="1" showErrorMessage="1" sqref="F9:F25 F38:F56 F27:F36 F58:F77 F113:F123 F107:F111 F86:F91 F93:F105 F79:F84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11</vt:i4>
      </vt:variant>
    </vt:vector>
  </HeadingPairs>
  <TitlesOfParts>
    <vt:vector size="24" baseType="lpstr">
      <vt:lpstr>!!! ФІНАНСОВИЙ ПЛАН 2023 !!!</vt:lpstr>
      <vt:lpstr>Доходи</vt:lpstr>
      <vt:lpstr>Видатки</vt:lpstr>
      <vt:lpstr>ОЗ-ІНМА</vt:lpstr>
      <vt:lpstr>2210</vt:lpstr>
      <vt:lpstr>2220</vt:lpstr>
      <vt:lpstr>2230</vt:lpstr>
      <vt:lpstr>2240</vt:lpstr>
      <vt:lpstr>ФОП</vt:lpstr>
      <vt:lpstr> тарифікація 01.01</vt:lpstr>
      <vt:lpstr>Енергоносії...</vt:lpstr>
      <vt:lpstr>програма</vt:lpstr>
      <vt:lpstr>0</vt:lpstr>
      <vt:lpstr>до_1_року</vt:lpstr>
      <vt:lpstr>'!!! ФІНАНСОВИЙ ПЛАН 2023 !!!'!Заголовки_для_печати</vt:lpstr>
      <vt:lpstr>лікарі</vt:lpstr>
      <vt:lpstr>' тарифікація 01.01'!Область_печати</vt:lpstr>
      <vt:lpstr>'!!! ФІНАНСОВИЙ ПЛАН 2023 !!!'!Область_печати</vt:lpstr>
      <vt:lpstr>'2210'!Область_печати</vt:lpstr>
      <vt:lpstr>'2220'!Область_печати</vt:lpstr>
      <vt:lpstr>'2230'!Область_печати</vt:lpstr>
      <vt:lpstr>'2240'!Область_печати</vt:lpstr>
      <vt:lpstr>Доходи!Область_печати</vt:lpstr>
      <vt:lpstr>'ОЗ-ІНМА'!Область_печати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2020-12-03T07:48:53Z</cp:lastPrinted>
  <dcterms:created xsi:type="dcterms:W3CDTF">2015-06-05T18:19:34Z</dcterms:created>
  <dcterms:modified xsi:type="dcterms:W3CDTF">2024-12-10T10:13:26Z</dcterms:modified>
</cp:coreProperties>
</file>